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Dionel CTR Rodriguez\Downloads\3.12.24\"/>
    </mc:Choice>
  </mc:AlternateContent>
  <xr:revisionPtr revIDLastSave="0" documentId="8_{EE097199-15EC-493F-A265-89654AD6DC74}" xr6:coauthVersionLast="47" xr6:coauthVersionMax="47" xr10:uidLastSave="{00000000-0000-0000-0000-000000000000}"/>
  <workbookProtection lockStructure="1"/>
  <bookViews>
    <workbookView xWindow="-37760" yWindow="-5170" windowWidth="28800" windowHeight="15500" activeTab="1" xr2:uid="{00000000-000D-0000-FFFF-FFFF00000000}"/>
  </bookViews>
  <sheets>
    <sheet name="Instructions" sheetId="8" r:id="rId1"/>
    <sheet name="Data" sheetId="3" r:id="rId2"/>
    <sheet name="Obstacles" sheetId="7" r:id="rId3"/>
    <sheet name="Vertiport" sheetId="9" r:id="rId4"/>
    <sheet name="Helicopter Data" sheetId="2" state="hidden" r:id="rId5"/>
    <sheet name="KML Text" sheetId="6" state="hidden" r:id="rId6"/>
  </sheets>
  <definedNames>
    <definedName name="_bab1">#REF!</definedName>
    <definedName name="_bab2">#REF!</definedName>
    <definedName name="_bac1">#REF!</definedName>
    <definedName name="_bac2">#REF!</definedName>
    <definedName name="_bac3">#REF!</definedName>
    <definedName name="_bac4">#REF!</definedName>
    <definedName name="_dac1">#REF!</definedName>
    <definedName name="_dbc1">#REF!</definedName>
    <definedName name="a">#REF!</definedName>
    <definedName name="alpha1">#REF!</definedName>
    <definedName name="alpha12">#REF!</definedName>
    <definedName name="Answer">'Helicopter Data'!$B$22:$B$23</definedName>
    <definedName name="arad">#REF!</definedName>
    <definedName name="b">#REF!</definedName>
    <definedName name="bab">#REF!</definedName>
    <definedName name="bac">#REF!</definedName>
    <definedName name="bad">#REF!</definedName>
    <definedName name="bba">#REF!</definedName>
    <definedName name="bbc">#REF!</definedName>
    <definedName name="bearing12">#REF!</definedName>
    <definedName name="brad">#REF!</definedName>
    <definedName name="cdega">#REF!</definedName>
    <definedName name="Columns">'Helicopter Data'!$C$2:$BT$2</definedName>
    <definedName name="cosb">#REF!</definedName>
    <definedName name="crad">#REF!</definedName>
    <definedName name="crada">#REF!</definedName>
    <definedName name="d">#REF!</definedName>
    <definedName name="dab">#REF!</definedName>
    <definedName name="dac">#REF!</definedName>
    <definedName name="dbc">#REF!</definedName>
    <definedName name="deltasigma">#REF!</definedName>
    <definedName name="dnm">#REF!</definedName>
    <definedName name="Earthradius">#REF!</definedName>
    <definedName name="es">#REF!</definedName>
    <definedName name="f">#REF!</definedName>
    <definedName name="frecip">#REF!</definedName>
    <definedName name="GEType">Data!$BP$2:$BP$4</definedName>
    <definedName name="invlat1arad">#REF!</definedName>
    <definedName name="invlat2">#REF!</definedName>
    <definedName name="lat2a">#REF!</definedName>
    <definedName name="latb1">#REF!</definedName>
    <definedName name="latc">#REF!</definedName>
    <definedName name="latrad">#REF!</definedName>
    <definedName name="lon1arad">#REF!</definedName>
    <definedName name="lon2a">#REF!</definedName>
    <definedName name="lona1">#REF!</definedName>
    <definedName name="lonb1">#REF!</definedName>
    <definedName name="lonc">#REF!</definedName>
    <definedName name="lonrad">#REF!</definedName>
    <definedName name="Names">'Helicopter Data'!$C$1:$BZ$1</definedName>
    <definedName name="PadType">'Helicopter Data'!$B$25:$B$26</definedName>
    <definedName name="_xlnm.Print_Area" localSheetId="2">Obstacles!$B$1:$R$60</definedName>
    <definedName name="RadiusEarth">#REF!</definedName>
    <definedName name="rand1">#REF!</definedName>
    <definedName name="rand2">#REF!</definedName>
    <definedName name="rand3">#REF!</definedName>
    <definedName name="rand4">#REF!</definedName>
    <definedName name="randd2">#REF!</definedName>
    <definedName name="randf1">#REF!</definedName>
    <definedName name="s">#REF!</definedName>
    <definedName name="Shape">'Helicopter Data'!$B$25:$B$26</definedName>
    <definedName name="sigma">#REF!</definedName>
    <definedName name="sinb">#REF!</definedName>
    <definedName name="t">#REF!</definedName>
    <definedName name="Type">'Helicopter Data'!$B$28:$B$30</definedName>
    <definedName name="usquare">#REF!</definedName>
    <definedName name="Variation">'Helicopter Data'!$B$32:$B$33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H29" i="3" l="1"/>
  <c r="H54" i="3" l="1"/>
  <c r="H46" i="3"/>
  <c r="H45" i="3"/>
  <c r="H51" i="3"/>
  <c r="H43" i="3"/>
  <c r="H53" i="3"/>
  <c r="H44" i="3"/>
  <c r="H52" i="3"/>
  <c r="H50" i="3"/>
  <c r="H49" i="3"/>
  <c r="H48" i="3"/>
  <c r="H47" i="3"/>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CH9" i="7"/>
  <c r="CH10" i="7"/>
  <c r="CH11" i="7"/>
  <c r="CH12" i="7"/>
  <c r="CH13" i="7"/>
  <c r="CH14" i="7"/>
  <c r="CH15" i="7"/>
  <c r="CH16" i="7"/>
  <c r="CH17" i="7"/>
  <c r="CH18" i="7"/>
  <c r="CH19" i="7"/>
  <c r="CH20" i="7"/>
  <c r="CH21" i="7"/>
  <c r="CH22" i="7"/>
  <c r="CH23" i="7"/>
  <c r="CH24" i="7"/>
  <c r="CH25" i="7"/>
  <c r="CH26" i="7"/>
  <c r="CH27" i="7"/>
  <c r="CH28" i="7"/>
  <c r="CH29" i="7"/>
  <c r="CH30" i="7"/>
  <c r="CH31" i="7"/>
  <c r="CH32" i="7"/>
  <c r="CH33" i="7"/>
  <c r="CH34" i="7"/>
  <c r="CH35" i="7"/>
  <c r="CH36" i="7"/>
  <c r="CH37" i="7"/>
  <c r="CH38" i="7"/>
  <c r="CH39" i="7"/>
  <c r="CH40" i="7"/>
  <c r="CH41" i="7"/>
  <c r="CH42" i="7"/>
  <c r="CH43" i="7"/>
  <c r="CH44" i="7"/>
  <c r="CH45" i="7"/>
  <c r="CH46" i="7"/>
  <c r="CH47" i="7"/>
  <c r="CH48" i="7"/>
  <c r="CH49" i="7"/>
  <c r="CH50" i="7"/>
  <c r="CH51" i="7"/>
  <c r="CH52" i="7"/>
  <c r="CH53" i="7"/>
  <c r="CH5" i="7"/>
  <c r="CH6" i="7"/>
  <c r="CH7" i="7"/>
  <c r="CH8" i="7"/>
  <c r="D52" i="3"/>
  <c r="D54" i="3"/>
  <c r="D53" i="3"/>
  <c r="D46" i="3"/>
  <c r="D50" i="3"/>
  <c r="D49" i="3"/>
  <c r="D45" i="3"/>
  <c r="D48" i="3"/>
  <c r="D47" i="3"/>
  <c r="D43" i="3"/>
  <c r="D51" i="3"/>
  <c r="D44" i="3"/>
  <c r="F60" i="7" l="1"/>
  <c r="F58" i="7"/>
  <c r="F54" i="7"/>
  <c r="F50" i="7"/>
  <c r="F46" i="7"/>
  <c r="F45" i="7"/>
  <c r="F42" i="7"/>
  <c r="F41" i="7"/>
  <c r="F38" i="7"/>
  <c r="F37" i="7"/>
  <c r="F36" i="7"/>
  <c r="F34" i="7"/>
  <c r="F32" i="7"/>
  <c r="F31" i="7"/>
  <c r="F30" i="7"/>
  <c r="F29" i="7"/>
  <c r="F27" i="7"/>
  <c r="F26" i="7"/>
  <c r="F24" i="7"/>
  <c r="F22" i="7"/>
  <c r="F20" i="7"/>
  <c r="F18" i="7"/>
  <c r="F17" i="7"/>
  <c r="F15" i="7"/>
  <c r="F14" i="7"/>
  <c r="F12" i="7"/>
  <c r="V11" i="7"/>
  <c r="F11" i="7" s="1"/>
  <c r="F13" i="7"/>
  <c r="F16" i="7"/>
  <c r="F19" i="7"/>
  <c r="F21" i="7"/>
  <c r="F23" i="7"/>
  <c r="F25" i="7"/>
  <c r="F28" i="7"/>
  <c r="F33" i="7"/>
  <c r="F35" i="7"/>
  <c r="F39" i="7"/>
  <c r="F40" i="7"/>
  <c r="F43" i="7"/>
  <c r="F44" i="7"/>
  <c r="F47" i="7"/>
  <c r="F48" i="7"/>
  <c r="F49" i="7"/>
  <c r="F51" i="7"/>
  <c r="F52" i="7"/>
  <c r="F53" i="7"/>
  <c r="F55" i="7"/>
  <c r="F56" i="7"/>
  <c r="F57" i="7"/>
  <c r="F59" i="7"/>
  <c r="AF181" i="3" l="1"/>
  <c r="AF186" i="3" s="1"/>
  <c r="AF158" i="3"/>
  <c r="AF162" i="3" s="1"/>
  <c r="AF135" i="3"/>
  <c r="AF140" i="3" s="1"/>
  <c r="AF156" i="3"/>
  <c r="AF160" i="3" s="1"/>
  <c r="AG156" i="3"/>
  <c r="AG160" i="3" s="1"/>
  <c r="AH156" i="3"/>
  <c r="AH160" i="3" s="1"/>
  <c r="AI156" i="3"/>
  <c r="AI160" i="3" s="1"/>
  <c r="AJ156" i="3"/>
  <c r="AJ160" i="3" s="1"/>
  <c r="AK156" i="3"/>
  <c r="AK160" i="3" s="1"/>
  <c r="AL156" i="3"/>
  <c r="AM156" i="3"/>
  <c r="AM160" i="3" s="1"/>
  <c r="AN156" i="3"/>
  <c r="AN160" i="3" s="1"/>
  <c r="AO156" i="3"/>
  <c r="AO160" i="3" s="1"/>
  <c r="AP156" i="3"/>
  <c r="AP160" i="3" s="1"/>
  <c r="AQ156" i="3"/>
  <c r="AQ160" i="3" s="1"/>
  <c r="AR156" i="3"/>
  <c r="AR160" i="3" s="1"/>
  <c r="AS156" i="3"/>
  <c r="AS160" i="3" s="1"/>
  <c r="AT156" i="3"/>
  <c r="AT160" i="3" s="1"/>
  <c r="AU156" i="3"/>
  <c r="AU160" i="3" s="1"/>
  <c r="AV156" i="3"/>
  <c r="AV160" i="3" s="1"/>
  <c r="AW156" i="3"/>
  <c r="AW160" i="3" s="1"/>
  <c r="AX156" i="3"/>
  <c r="AX160" i="3" s="1"/>
  <c r="AY156" i="3"/>
  <c r="AY160" i="3" s="1"/>
  <c r="AZ156" i="3"/>
  <c r="AZ160" i="3" s="1"/>
  <c r="BA156" i="3"/>
  <c r="BA160" i="3" s="1"/>
  <c r="BB156" i="3"/>
  <c r="BB160" i="3" s="1"/>
  <c r="BC156" i="3"/>
  <c r="BC160" i="3" s="1"/>
  <c r="BD156" i="3"/>
  <c r="BD160" i="3" s="1"/>
  <c r="BE156" i="3"/>
  <c r="BE160" i="3" s="1"/>
  <c r="BF156" i="3"/>
  <c r="BF160" i="3" s="1"/>
  <c r="BG156" i="3"/>
  <c r="BG160" i="3" s="1"/>
  <c r="BH156" i="3"/>
  <c r="BH160" i="3" s="1"/>
  <c r="BI156" i="3"/>
  <c r="BI160" i="3" s="1"/>
  <c r="BJ156" i="3"/>
  <c r="BJ160" i="3" s="1"/>
  <c r="BK156" i="3"/>
  <c r="BK160" i="3" s="1"/>
  <c r="BL156" i="3"/>
  <c r="BL160" i="3" s="1"/>
  <c r="BM156" i="3"/>
  <c r="BM160" i="3" s="1"/>
  <c r="BN156" i="3"/>
  <c r="BN160" i="3" s="1"/>
  <c r="AF157" i="3"/>
  <c r="AF161" i="3" s="1"/>
  <c r="AG157" i="3"/>
  <c r="AG161" i="3" s="1"/>
  <c r="AH157" i="3"/>
  <c r="AH161" i="3" s="1"/>
  <c r="AI157" i="3"/>
  <c r="AI161" i="3" s="1"/>
  <c r="AJ157" i="3"/>
  <c r="AJ161" i="3" s="1"/>
  <c r="AK157" i="3"/>
  <c r="AK161" i="3" s="1"/>
  <c r="AL157" i="3"/>
  <c r="AL161" i="3" s="1"/>
  <c r="AM157" i="3"/>
  <c r="AM161" i="3" s="1"/>
  <c r="AN157" i="3"/>
  <c r="AN161" i="3" s="1"/>
  <c r="AO157" i="3"/>
  <c r="AO161" i="3" s="1"/>
  <c r="AP157" i="3"/>
  <c r="AP161" i="3" s="1"/>
  <c r="AQ157" i="3"/>
  <c r="AQ161" i="3" s="1"/>
  <c r="AR157" i="3"/>
  <c r="AR161" i="3" s="1"/>
  <c r="AS157" i="3"/>
  <c r="AS161" i="3" s="1"/>
  <c r="AT157" i="3"/>
  <c r="AT161" i="3" s="1"/>
  <c r="AU157" i="3"/>
  <c r="AU161" i="3" s="1"/>
  <c r="AV157" i="3"/>
  <c r="AV161" i="3" s="1"/>
  <c r="AW157" i="3"/>
  <c r="AW161" i="3" s="1"/>
  <c r="AX157" i="3"/>
  <c r="AX161" i="3" s="1"/>
  <c r="AY157" i="3"/>
  <c r="AY161" i="3" s="1"/>
  <c r="AZ157" i="3"/>
  <c r="AZ161" i="3" s="1"/>
  <c r="BA157" i="3"/>
  <c r="BA161" i="3" s="1"/>
  <c r="BB157" i="3"/>
  <c r="BB161" i="3" s="1"/>
  <c r="BC157" i="3"/>
  <c r="BC161" i="3" s="1"/>
  <c r="BD157" i="3"/>
  <c r="BD161" i="3" s="1"/>
  <c r="BE157" i="3"/>
  <c r="BE161" i="3" s="1"/>
  <c r="BF157" i="3"/>
  <c r="BF161" i="3" s="1"/>
  <c r="BG157" i="3"/>
  <c r="BG161" i="3" s="1"/>
  <c r="BH157" i="3"/>
  <c r="BH161" i="3" s="1"/>
  <c r="BI157" i="3"/>
  <c r="BI161" i="3" s="1"/>
  <c r="BJ157" i="3"/>
  <c r="BJ161" i="3" s="1"/>
  <c r="BK157" i="3"/>
  <c r="BK161" i="3" s="1"/>
  <c r="BL157" i="3"/>
  <c r="BL161" i="3" s="1"/>
  <c r="BM157" i="3"/>
  <c r="BM161" i="3" s="1"/>
  <c r="BN157" i="3"/>
  <c r="BN161" i="3" s="1"/>
  <c r="AL160" i="3"/>
  <c r="AF179" i="3"/>
  <c r="AF183" i="3" s="1"/>
  <c r="AG179" i="3"/>
  <c r="AG183" i="3" s="1"/>
  <c r="AH179" i="3"/>
  <c r="AH183" i="3" s="1"/>
  <c r="AI179" i="3"/>
  <c r="AI183" i="3" s="1"/>
  <c r="AJ179" i="3"/>
  <c r="AJ183" i="3" s="1"/>
  <c r="AK179" i="3"/>
  <c r="AK183" i="3" s="1"/>
  <c r="AL179" i="3"/>
  <c r="AL183" i="3" s="1"/>
  <c r="AM179" i="3"/>
  <c r="AM183" i="3" s="1"/>
  <c r="AN179" i="3"/>
  <c r="AN183" i="3" s="1"/>
  <c r="AO179" i="3"/>
  <c r="AO183" i="3" s="1"/>
  <c r="AP179" i="3"/>
  <c r="AP183" i="3" s="1"/>
  <c r="AQ179" i="3"/>
  <c r="AQ183" i="3" s="1"/>
  <c r="AR179" i="3"/>
  <c r="AR183" i="3" s="1"/>
  <c r="AS179" i="3"/>
  <c r="AS183" i="3" s="1"/>
  <c r="AT179" i="3"/>
  <c r="AT183" i="3" s="1"/>
  <c r="AU179" i="3"/>
  <c r="AU183" i="3" s="1"/>
  <c r="AV179" i="3"/>
  <c r="AV183" i="3" s="1"/>
  <c r="AW179" i="3"/>
  <c r="AW183" i="3" s="1"/>
  <c r="AX179" i="3"/>
  <c r="AX183" i="3" s="1"/>
  <c r="AY179" i="3"/>
  <c r="AY183" i="3" s="1"/>
  <c r="AZ179" i="3"/>
  <c r="AZ183" i="3" s="1"/>
  <c r="BA179" i="3"/>
  <c r="BA183" i="3" s="1"/>
  <c r="BB179" i="3"/>
  <c r="BB183" i="3" s="1"/>
  <c r="BC179" i="3"/>
  <c r="BC183" i="3" s="1"/>
  <c r="BD179" i="3"/>
  <c r="BD183" i="3" s="1"/>
  <c r="BE179" i="3"/>
  <c r="BE183" i="3" s="1"/>
  <c r="BF179" i="3"/>
  <c r="BF183" i="3" s="1"/>
  <c r="BG179" i="3"/>
  <c r="BG183" i="3" s="1"/>
  <c r="BH179" i="3"/>
  <c r="BH183" i="3" s="1"/>
  <c r="BI179" i="3"/>
  <c r="BI183" i="3" s="1"/>
  <c r="BJ179" i="3"/>
  <c r="BJ183" i="3" s="1"/>
  <c r="BK179" i="3"/>
  <c r="BK183" i="3" s="1"/>
  <c r="BL179" i="3"/>
  <c r="BL183" i="3" s="1"/>
  <c r="BM179" i="3"/>
  <c r="BM183" i="3" s="1"/>
  <c r="BN179" i="3"/>
  <c r="BN183" i="3" s="1"/>
  <c r="AF180" i="3"/>
  <c r="AF184" i="3" s="1"/>
  <c r="AG180" i="3"/>
  <c r="AG184" i="3" s="1"/>
  <c r="AH180" i="3"/>
  <c r="AH184" i="3" s="1"/>
  <c r="AI180" i="3"/>
  <c r="AI184" i="3" s="1"/>
  <c r="AJ180" i="3"/>
  <c r="AJ184" i="3" s="1"/>
  <c r="AK180" i="3"/>
  <c r="AK184" i="3" s="1"/>
  <c r="AL180" i="3"/>
  <c r="AL184" i="3" s="1"/>
  <c r="AM180" i="3"/>
  <c r="AM184" i="3" s="1"/>
  <c r="AN180" i="3"/>
  <c r="AN184" i="3" s="1"/>
  <c r="AO180" i="3"/>
  <c r="AO184" i="3" s="1"/>
  <c r="AP180" i="3"/>
  <c r="AP184" i="3" s="1"/>
  <c r="AQ180" i="3"/>
  <c r="AQ184" i="3" s="1"/>
  <c r="AR180" i="3"/>
  <c r="AR184" i="3" s="1"/>
  <c r="AS180" i="3"/>
  <c r="AS184" i="3" s="1"/>
  <c r="AT180" i="3"/>
  <c r="AT184" i="3" s="1"/>
  <c r="AU180" i="3"/>
  <c r="AU184" i="3" s="1"/>
  <c r="AV180" i="3"/>
  <c r="AV184" i="3" s="1"/>
  <c r="AW180" i="3"/>
  <c r="AW184" i="3" s="1"/>
  <c r="AX180" i="3"/>
  <c r="AX184" i="3" s="1"/>
  <c r="AY180" i="3"/>
  <c r="AY184" i="3" s="1"/>
  <c r="AZ180" i="3"/>
  <c r="AZ184" i="3" s="1"/>
  <c r="BA180" i="3"/>
  <c r="BA184" i="3" s="1"/>
  <c r="BB180" i="3"/>
  <c r="BB184" i="3" s="1"/>
  <c r="BC180" i="3"/>
  <c r="BC184" i="3" s="1"/>
  <c r="BD180" i="3"/>
  <c r="BD184" i="3" s="1"/>
  <c r="BE180" i="3"/>
  <c r="BE184" i="3" s="1"/>
  <c r="BF180" i="3"/>
  <c r="BF184" i="3" s="1"/>
  <c r="BG180" i="3"/>
  <c r="BG184" i="3" s="1"/>
  <c r="BH180" i="3"/>
  <c r="BH184" i="3" s="1"/>
  <c r="BI180" i="3"/>
  <c r="BI184" i="3" s="1"/>
  <c r="BJ180" i="3"/>
  <c r="BJ184" i="3" s="1"/>
  <c r="BK180" i="3"/>
  <c r="BK184" i="3" s="1"/>
  <c r="BL180" i="3"/>
  <c r="BL184" i="3" s="1"/>
  <c r="BM180" i="3"/>
  <c r="BM184" i="3" s="1"/>
  <c r="BN180" i="3"/>
  <c r="BN184" i="3" s="1"/>
  <c r="AF185" i="3"/>
  <c r="AF133" i="3"/>
  <c r="AF137" i="3" s="1"/>
  <c r="AG133" i="3"/>
  <c r="AG137" i="3" s="1"/>
  <c r="AH133" i="3"/>
  <c r="AH137" i="3" s="1"/>
  <c r="AI133" i="3"/>
  <c r="AI137" i="3" s="1"/>
  <c r="AJ133" i="3"/>
  <c r="AJ137" i="3" s="1"/>
  <c r="AK133" i="3"/>
  <c r="AK137" i="3" s="1"/>
  <c r="AL133" i="3"/>
  <c r="AL137" i="3" s="1"/>
  <c r="AM133" i="3"/>
  <c r="AM137" i="3" s="1"/>
  <c r="AN133" i="3"/>
  <c r="AN137" i="3" s="1"/>
  <c r="AO133" i="3"/>
  <c r="AO137" i="3" s="1"/>
  <c r="AP133" i="3"/>
  <c r="AP137" i="3" s="1"/>
  <c r="AQ133" i="3"/>
  <c r="AQ137" i="3" s="1"/>
  <c r="AR133" i="3"/>
  <c r="AR137" i="3" s="1"/>
  <c r="AS133" i="3"/>
  <c r="AS137" i="3" s="1"/>
  <c r="AT133" i="3"/>
  <c r="AT137" i="3" s="1"/>
  <c r="AU133" i="3"/>
  <c r="AU137" i="3" s="1"/>
  <c r="AV133" i="3"/>
  <c r="AV137" i="3" s="1"/>
  <c r="AW133" i="3"/>
  <c r="AW137" i="3" s="1"/>
  <c r="AX133" i="3"/>
  <c r="AX137" i="3" s="1"/>
  <c r="AY133" i="3"/>
  <c r="AY137" i="3" s="1"/>
  <c r="AZ133" i="3"/>
  <c r="AZ137" i="3" s="1"/>
  <c r="BA133" i="3"/>
  <c r="BA137" i="3" s="1"/>
  <c r="BB133" i="3"/>
  <c r="BB137" i="3" s="1"/>
  <c r="BC133" i="3"/>
  <c r="BC137" i="3" s="1"/>
  <c r="BD133" i="3"/>
  <c r="BD137" i="3" s="1"/>
  <c r="BE133" i="3"/>
  <c r="BE137" i="3" s="1"/>
  <c r="BF133" i="3"/>
  <c r="BF137" i="3" s="1"/>
  <c r="BG133" i="3"/>
  <c r="BG137" i="3" s="1"/>
  <c r="BH133" i="3"/>
  <c r="BH137" i="3" s="1"/>
  <c r="BI133" i="3"/>
  <c r="BI137" i="3" s="1"/>
  <c r="BJ133" i="3"/>
  <c r="BJ137" i="3" s="1"/>
  <c r="BK133" i="3"/>
  <c r="BK137" i="3" s="1"/>
  <c r="BL133" i="3"/>
  <c r="BL137" i="3" s="1"/>
  <c r="BM133" i="3"/>
  <c r="BM137" i="3" s="1"/>
  <c r="BN133" i="3"/>
  <c r="BN137" i="3" s="1"/>
  <c r="AF134" i="3"/>
  <c r="AF138" i="3" s="1"/>
  <c r="AG134" i="3"/>
  <c r="AG138" i="3" s="1"/>
  <c r="AH134" i="3"/>
  <c r="AH138" i="3" s="1"/>
  <c r="AI134" i="3"/>
  <c r="AI138" i="3" s="1"/>
  <c r="AJ134" i="3"/>
  <c r="AJ138" i="3" s="1"/>
  <c r="AK134" i="3"/>
  <c r="AK138" i="3" s="1"/>
  <c r="AL134" i="3"/>
  <c r="AL138" i="3" s="1"/>
  <c r="AM134" i="3"/>
  <c r="AM138" i="3" s="1"/>
  <c r="AN134" i="3"/>
  <c r="AN138" i="3" s="1"/>
  <c r="AO134" i="3"/>
  <c r="AO138" i="3" s="1"/>
  <c r="AP134" i="3"/>
  <c r="AP138" i="3" s="1"/>
  <c r="AQ134" i="3"/>
  <c r="AQ138" i="3" s="1"/>
  <c r="AR134" i="3"/>
  <c r="AR138" i="3" s="1"/>
  <c r="AS134" i="3"/>
  <c r="AS138" i="3" s="1"/>
  <c r="AT134" i="3"/>
  <c r="AT138" i="3" s="1"/>
  <c r="AU134" i="3"/>
  <c r="AU138" i="3" s="1"/>
  <c r="AV134" i="3"/>
  <c r="AV138" i="3" s="1"/>
  <c r="AW134" i="3"/>
  <c r="AW138" i="3" s="1"/>
  <c r="AX134" i="3"/>
  <c r="AX138" i="3" s="1"/>
  <c r="AY134" i="3"/>
  <c r="AY138" i="3" s="1"/>
  <c r="AZ134" i="3"/>
  <c r="AZ138" i="3" s="1"/>
  <c r="BA134" i="3"/>
  <c r="BA138" i="3" s="1"/>
  <c r="BB134" i="3"/>
  <c r="BB138" i="3" s="1"/>
  <c r="BC134" i="3"/>
  <c r="BC138" i="3" s="1"/>
  <c r="BD134" i="3"/>
  <c r="BD138" i="3" s="1"/>
  <c r="BE134" i="3"/>
  <c r="BE138" i="3" s="1"/>
  <c r="BF134" i="3"/>
  <c r="BF138" i="3" s="1"/>
  <c r="BG134" i="3"/>
  <c r="BG138" i="3" s="1"/>
  <c r="BH134" i="3"/>
  <c r="BH138" i="3" s="1"/>
  <c r="BI134" i="3"/>
  <c r="BI138" i="3" s="1"/>
  <c r="BJ134" i="3"/>
  <c r="BJ138" i="3" s="1"/>
  <c r="BK134" i="3"/>
  <c r="BK138" i="3" s="1"/>
  <c r="BL134" i="3"/>
  <c r="BL138" i="3" s="1"/>
  <c r="BM134" i="3"/>
  <c r="BM138" i="3" s="1"/>
  <c r="BN134" i="3"/>
  <c r="BN138" i="3" s="1"/>
  <c r="AE186" i="3"/>
  <c r="AE185" i="3"/>
  <c r="AE180" i="3"/>
  <c r="AE184" i="3" s="1"/>
  <c r="AE179" i="3"/>
  <c r="AE183" i="3" s="1"/>
  <c r="AE163" i="3"/>
  <c r="AE162" i="3"/>
  <c r="AE157" i="3"/>
  <c r="AE161" i="3" s="1"/>
  <c r="AE156" i="3"/>
  <c r="AE160" i="3" s="1"/>
  <c r="AE140" i="3"/>
  <c r="AE139" i="3"/>
  <c r="AE134" i="3"/>
  <c r="AE138" i="3" s="1"/>
  <c r="AE133" i="3"/>
  <c r="AE137" i="3" s="1"/>
  <c r="AF163" i="3" l="1"/>
  <c r="AG181" i="3"/>
  <c r="AG135" i="3"/>
  <c r="AG158" i="3"/>
  <c r="AF139" i="3"/>
  <c r="E727" i="6"/>
  <c r="E738" i="6"/>
  <c r="E725" i="6"/>
  <c r="E736" i="6"/>
  <c r="E723" i="6"/>
  <c r="E734" i="6"/>
  <c r="E721" i="6"/>
  <c r="E732" i="6"/>
  <c r="E719" i="6"/>
  <c r="E730" i="6"/>
  <c r="E745" i="6"/>
  <c r="E743" i="6"/>
  <c r="E741" i="6"/>
  <c r="E747" i="6"/>
  <c r="E749" i="6"/>
  <c r="AH158" i="3" l="1"/>
  <c r="AG162" i="3"/>
  <c r="AH135" i="3"/>
  <c r="AG140" i="3"/>
  <c r="AG139" i="3"/>
  <c r="AG163" i="3"/>
  <c r="AH181" i="3"/>
  <c r="AG185" i="3"/>
  <c r="AG186" i="3"/>
  <c r="H37" i="3"/>
  <c r="M14" i="3"/>
  <c r="AH185" i="3" l="1"/>
  <c r="AI181" i="3"/>
  <c r="AH186" i="3"/>
  <c r="AH140" i="3"/>
  <c r="AI135" i="3"/>
  <c r="AH139" i="3"/>
  <c r="AH162" i="3"/>
  <c r="AH163" i="3"/>
  <c r="AI158" i="3"/>
  <c r="V5" i="3"/>
  <c r="AE14" i="3" s="1"/>
  <c r="AE18" i="3" s="1"/>
  <c r="W5" i="3"/>
  <c r="W12" i="3" s="1"/>
  <c r="X5" i="3"/>
  <c r="X13" i="3" s="1"/>
  <c r="Y5" i="3"/>
  <c r="AX66" i="3" s="1"/>
  <c r="Z5" i="3"/>
  <c r="BQ5" i="3"/>
  <c r="BQ6" i="3"/>
  <c r="AE12" i="3"/>
  <c r="AE16" i="3" s="1"/>
  <c r="AF12" i="3"/>
  <c r="AF16" i="3" s="1"/>
  <c r="AG12" i="3"/>
  <c r="AG16" i="3" s="1"/>
  <c r="AL12" i="3"/>
  <c r="AL16" i="3" s="1"/>
  <c r="AM12" i="3"/>
  <c r="AM16" i="3" s="1"/>
  <c r="AR12" i="3"/>
  <c r="AR16" i="3" s="1"/>
  <c r="AS12" i="3"/>
  <c r="AS16" i="3" s="1"/>
  <c r="AX12" i="3"/>
  <c r="AX16" i="3" s="1"/>
  <c r="AY12" i="3"/>
  <c r="AY16" i="3" s="1"/>
  <c r="BJ12" i="3"/>
  <c r="BJ16" i="3" s="1"/>
  <c r="AE13" i="3"/>
  <c r="AE17" i="3" s="1"/>
  <c r="AF13" i="3"/>
  <c r="AF17" i="3" s="1"/>
  <c r="AG13" i="3"/>
  <c r="AG17" i="3" s="1"/>
  <c r="AL13" i="3"/>
  <c r="AL17" i="3" s="1"/>
  <c r="AM13" i="3"/>
  <c r="AM17" i="3" s="1"/>
  <c r="AR13" i="3"/>
  <c r="AR17" i="3" s="1"/>
  <c r="AS13" i="3"/>
  <c r="AS17" i="3" s="1"/>
  <c r="AX13" i="3"/>
  <c r="AX17" i="3" s="1"/>
  <c r="AY13" i="3"/>
  <c r="AY17" i="3" s="1"/>
  <c r="BJ13" i="3"/>
  <c r="BJ17" i="3" s="1"/>
  <c r="AE15" i="3"/>
  <c r="AE25" i="3" s="1"/>
  <c r="AZ15" i="3"/>
  <c r="AZ25" i="3" s="1"/>
  <c r="BA15" i="3"/>
  <c r="BA25" i="3" s="1"/>
  <c r="AA18" i="3"/>
  <c r="AB18" i="3" s="1"/>
  <c r="AA22" i="3"/>
  <c r="AB22" i="3" s="1"/>
  <c r="AA25" i="3"/>
  <c r="AB25" i="3" s="1"/>
  <c r="AA26" i="3"/>
  <c r="AB26" i="3" s="1"/>
  <c r="AA27" i="3"/>
  <c r="AB27" i="3" s="1"/>
  <c r="AA28" i="3"/>
  <c r="AB28" i="3" s="1"/>
  <c r="AA29" i="3"/>
  <c r="AB29" i="3" s="1"/>
  <c r="AA30" i="3"/>
  <c r="AB30" i="3" s="1"/>
  <c r="AA31" i="3"/>
  <c r="AB31" i="3" s="1"/>
  <c r="AA32" i="3"/>
  <c r="AB32" i="3" s="1"/>
  <c r="AA33" i="3"/>
  <c r="AB33" i="3" s="1"/>
  <c r="AA34" i="3"/>
  <c r="AB34" i="3" s="1"/>
  <c r="AA35" i="3"/>
  <c r="AB35" i="3" s="1"/>
  <c r="AA36" i="3"/>
  <c r="AB36" i="3" s="1"/>
  <c r="AA37" i="3"/>
  <c r="AB37" i="3" s="1"/>
  <c r="AA39" i="3"/>
  <c r="AB39" i="3" s="1"/>
  <c r="AA40" i="3"/>
  <c r="AB40" i="3" s="1"/>
  <c r="AA41" i="3"/>
  <c r="AB41" i="3" s="1"/>
  <c r="AX41" i="3"/>
  <c r="AX45" i="3" s="1"/>
  <c r="AY41" i="3"/>
  <c r="AY45" i="3" s="1"/>
  <c r="BJ41" i="3"/>
  <c r="BJ45" i="3" s="1"/>
  <c r="AA42" i="3"/>
  <c r="AB42" i="3" s="1"/>
  <c r="AX42" i="3"/>
  <c r="AX46" i="3" s="1"/>
  <c r="AY42" i="3"/>
  <c r="AY46" i="3" s="1"/>
  <c r="BJ42" i="3"/>
  <c r="BJ46" i="3" s="1"/>
  <c r="AA43" i="3"/>
  <c r="AB43" i="3" s="1"/>
  <c r="AA44" i="3"/>
  <c r="AB44" i="3" s="1"/>
  <c r="AZ44" i="3"/>
  <c r="BA44" i="3"/>
  <c r="BA49" i="3" s="1"/>
  <c r="AA45" i="3"/>
  <c r="AB45" i="3" s="1"/>
  <c r="AA46" i="3"/>
  <c r="AB46" i="3" s="1"/>
  <c r="AA47" i="3"/>
  <c r="AB47" i="3" s="1"/>
  <c r="AA48" i="3"/>
  <c r="AB48" i="3" s="1"/>
  <c r="AA51" i="3"/>
  <c r="AB51" i="3" s="1"/>
  <c r="AA52" i="3"/>
  <c r="AB52" i="3" s="1"/>
  <c r="AA53" i="3"/>
  <c r="AB53" i="3" s="1"/>
  <c r="AA56" i="3"/>
  <c r="AB56" i="3" s="1"/>
  <c r="AA57" i="3"/>
  <c r="AB57" i="3" s="1"/>
  <c r="AA58" i="3"/>
  <c r="AB58" i="3" s="1"/>
  <c r="AA59" i="3"/>
  <c r="AB59" i="3" s="1"/>
  <c r="AA60" i="3"/>
  <c r="AB60" i="3" s="1"/>
  <c r="AA61" i="3"/>
  <c r="AB61" i="3" s="1"/>
  <c r="AA62" i="3"/>
  <c r="AB62" i="3" s="1"/>
  <c r="AA64" i="3"/>
  <c r="AB64" i="3" s="1"/>
  <c r="AX64" i="3"/>
  <c r="AX68" i="3" s="1"/>
  <c r="AY64" i="3"/>
  <c r="AY68" i="3" s="1"/>
  <c r="BJ64" i="3"/>
  <c r="BJ68" i="3" s="1"/>
  <c r="AA65" i="3"/>
  <c r="AB65" i="3" s="1"/>
  <c r="AX65" i="3"/>
  <c r="AX69" i="3" s="1"/>
  <c r="AY65" i="3"/>
  <c r="AY69" i="3" s="1"/>
  <c r="BJ65" i="3"/>
  <c r="BJ69" i="3" s="1"/>
  <c r="AA66" i="3"/>
  <c r="AB66" i="3" s="1"/>
  <c r="AA67" i="3"/>
  <c r="AB67" i="3" s="1"/>
  <c r="AZ67" i="3"/>
  <c r="AZ72" i="3" s="1"/>
  <c r="BA67" i="3"/>
  <c r="AA68" i="3"/>
  <c r="AB68" i="3" s="1"/>
  <c r="AA69" i="3"/>
  <c r="AB69" i="3" s="1"/>
  <c r="AA72" i="3"/>
  <c r="AB72" i="3" s="1"/>
  <c r="AA73" i="3"/>
  <c r="AB73" i="3" s="1"/>
  <c r="AA74" i="3"/>
  <c r="AB74" i="3" s="1"/>
  <c r="AA77" i="3"/>
  <c r="AB77" i="3" s="1"/>
  <c r="AA78" i="3"/>
  <c r="AB78" i="3" s="1"/>
  <c r="AA79" i="3"/>
  <c r="AB79" i="3" s="1"/>
  <c r="AA80" i="3"/>
  <c r="AB80" i="3" s="1"/>
  <c r="AA81" i="3"/>
  <c r="AB81" i="3" s="1"/>
  <c r="AA82" i="3"/>
  <c r="AB82" i="3" s="1"/>
  <c r="AA83" i="3"/>
  <c r="AB83" i="3" s="1"/>
  <c r="AA84" i="3"/>
  <c r="AB84" i="3" s="1"/>
  <c r="AA85" i="3"/>
  <c r="AB85" i="3" s="1"/>
  <c r="AY85" i="3"/>
  <c r="AZ85" i="3"/>
  <c r="BA85" i="3"/>
  <c r="BB85" i="3"/>
  <c r="BC85" i="3"/>
  <c r="BD85" i="3"/>
  <c r="BE85" i="3"/>
  <c r="BF85" i="3"/>
  <c r="BG85" i="3"/>
  <c r="BH85" i="3"/>
  <c r="BI85" i="3"/>
  <c r="AA86" i="3"/>
  <c r="AB86" i="3" s="1"/>
  <c r="AA87" i="3"/>
  <c r="AB87" i="3" s="1"/>
  <c r="AX87" i="3"/>
  <c r="AX91" i="3" s="1"/>
  <c r="AY87" i="3"/>
  <c r="AY91" i="3" s="1"/>
  <c r="AZ87" i="3"/>
  <c r="AZ91" i="3" s="1"/>
  <c r="BA87" i="3"/>
  <c r="BA91" i="3" s="1"/>
  <c r="BB87" i="3"/>
  <c r="BB91" i="3" s="1"/>
  <c r="BC87" i="3"/>
  <c r="BC91" i="3" s="1"/>
  <c r="BD87" i="3"/>
  <c r="BD91" i="3" s="1"/>
  <c r="BE87" i="3"/>
  <c r="BE91" i="3" s="1"/>
  <c r="BF87" i="3"/>
  <c r="BF91" i="3" s="1"/>
  <c r="BG87" i="3"/>
  <c r="BG91" i="3" s="1"/>
  <c r="BH87" i="3"/>
  <c r="BH91" i="3" s="1"/>
  <c r="BI87" i="3"/>
  <c r="BI91" i="3" s="1"/>
  <c r="AA88" i="3"/>
  <c r="AB88" i="3" s="1"/>
  <c r="AX88" i="3"/>
  <c r="AX92" i="3" s="1"/>
  <c r="AY88" i="3"/>
  <c r="AY92" i="3" s="1"/>
  <c r="AZ88" i="3"/>
  <c r="AZ92" i="3" s="1"/>
  <c r="BA88" i="3"/>
  <c r="BA92" i="3" s="1"/>
  <c r="BB88" i="3"/>
  <c r="BB92" i="3" s="1"/>
  <c r="BC88" i="3"/>
  <c r="BC92" i="3" s="1"/>
  <c r="BD88" i="3"/>
  <c r="BD92" i="3" s="1"/>
  <c r="BE88" i="3"/>
  <c r="BE92" i="3" s="1"/>
  <c r="BF88" i="3"/>
  <c r="BF92" i="3" s="1"/>
  <c r="BG88" i="3"/>
  <c r="BG92" i="3" s="1"/>
  <c r="BH88" i="3"/>
  <c r="BH92" i="3" s="1"/>
  <c r="BI88" i="3"/>
  <c r="BI92" i="3" s="1"/>
  <c r="AA89" i="3"/>
  <c r="AB89" i="3" s="1"/>
  <c r="AA90" i="3"/>
  <c r="AB90" i="3" s="1"/>
  <c r="AA93" i="3"/>
  <c r="AB93" i="3" s="1"/>
  <c r="AX93" i="3"/>
  <c r="AY93" i="3"/>
  <c r="AZ93" i="3"/>
  <c r="BA93" i="3"/>
  <c r="BB93" i="3"/>
  <c r="BC93" i="3"/>
  <c r="BD93" i="3"/>
  <c r="BE93" i="3"/>
  <c r="BF93" i="3"/>
  <c r="BG93" i="3"/>
  <c r="BH93" i="3"/>
  <c r="BI93" i="3"/>
  <c r="AA94" i="3"/>
  <c r="AB94" i="3" s="1"/>
  <c r="AX94" i="3"/>
  <c r="AY94" i="3"/>
  <c r="AZ94" i="3"/>
  <c r="BA94" i="3"/>
  <c r="BB94" i="3"/>
  <c r="BC94" i="3"/>
  <c r="BD94" i="3"/>
  <c r="BE94" i="3"/>
  <c r="BF94" i="3"/>
  <c r="BG94" i="3"/>
  <c r="BH94" i="3"/>
  <c r="BI94" i="3"/>
  <c r="AA95" i="3"/>
  <c r="AB95" i="3" s="1"/>
  <c r="AA98" i="3"/>
  <c r="AB98" i="3" s="1"/>
  <c r="AA99" i="3"/>
  <c r="AB99" i="3" s="1"/>
  <c r="AA100" i="3"/>
  <c r="AB100" i="3" s="1"/>
  <c r="AA101" i="3"/>
  <c r="AB101" i="3" s="1"/>
  <c r="AA102" i="3"/>
  <c r="AB102" i="3" s="1"/>
  <c r="AA103" i="3"/>
  <c r="AB103" i="3" s="1"/>
  <c r="AA104" i="3"/>
  <c r="AB104" i="3" s="1"/>
  <c r="AY108" i="3"/>
  <c r="AZ108" i="3"/>
  <c r="BA108" i="3"/>
  <c r="BB108" i="3"/>
  <c r="BC108" i="3"/>
  <c r="BD108" i="3"/>
  <c r="BE108" i="3"/>
  <c r="BF108" i="3"/>
  <c r="BG108" i="3"/>
  <c r="BH108" i="3"/>
  <c r="BI108" i="3"/>
  <c r="AX110" i="3"/>
  <c r="AX114" i="3" s="1"/>
  <c r="AY110" i="3"/>
  <c r="AY114" i="3" s="1"/>
  <c r="AZ110" i="3"/>
  <c r="AZ114" i="3" s="1"/>
  <c r="BA110" i="3"/>
  <c r="BA114" i="3" s="1"/>
  <c r="BB110" i="3"/>
  <c r="BB114" i="3" s="1"/>
  <c r="BC110" i="3"/>
  <c r="BC114" i="3" s="1"/>
  <c r="BD110" i="3"/>
  <c r="BD114" i="3" s="1"/>
  <c r="BE110" i="3"/>
  <c r="BE114" i="3" s="1"/>
  <c r="BF110" i="3"/>
  <c r="BF114" i="3" s="1"/>
  <c r="BG110" i="3"/>
  <c r="BG114" i="3" s="1"/>
  <c r="BH110" i="3"/>
  <c r="BH114" i="3" s="1"/>
  <c r="BI110" i="3"/>
  <c r="BI114" i="3" s="1"/>
  <c r="AX111" i="3"/>
  <c r="AX115" i="3" s="1"/>
  <c r="AY111" i="3"/>
  <c r="AY115" i="3" s="1"/>
  <c r="AZ111" i="3"/>
  <c r="AZ115" i="3" s="1"/>
  <c r="BA111" i="3"/>
  <c r="BA115" i="3" s="1"/>
  <c r="BB111" i="3"/>
  <c r="BB115" i="3" s="1"/>
  <c r="BC111" i="3"/>
  <c r="BC115" i="3" s="1"/>
  <c r="BD111" i="3"/>
  <c r="BD115" i="3" s="1"/>
  <c r="BE111" i="3"/>
  <c r="BE115" i="3" s="1"/>
  <c r="BF111" i="3"/>
  <c r="BF115" i="3" s="1"/>
  <c r="BG111" i="3"/>
  <c r="BG115" i="3" s="1"/>
  <c r="BH111" i="3"/>
  <c r="BH115" i="3" s="1"/>
  <c r="BI111" i="3"/>
  <c r="BI115" i="3" s="1"/>
  <c r="AX116" i="3"/>
  <c r="AY116" i="3"/>
  <c r="AZ116" i="3"/>
  <c r="BA116" i="3"/>
  <c r="BB116" i="3"/>
  <c r="BC116" i="3"/>
  <c r="BD116" i="3"/>
  <c r="BE116" i="3"/>
  <c r="BF116" i="3"/>
  <c r="BG116" i="3"/>
  <c r="BH116" i="3"/>
  <c r="BI116" i="3"/>
  <c r="AX117" i="3"/>
  <c r="AY117" i="3"/>
  <c r="AZ117" i="3"/>
  <c r="BA117" i="3"/>
  <c r="BB117" i="3"/>
  <c r="BC117" i="3"/>
  <c r="BD117" i="3"/>
  <c r="BE117" i="3"/>
  <c r="BF117" i="3"/>
  <c r="BG117" i="3"/>
  <c r="BH117" i="3"/>
  <c r="BI117" i="3"/>
  <c r="AI185" i="3" l="1"/>
  <c r="AJ181" i="3"/>
  <c r="AI186" i="3"/>
  <c r="AI163" i="3"/>
  <c r="AI162" i="3"/>
  <c r="AJ158" i="3"/>
  <c r="AJ135" i="3"/>
  <c r="AI140" i="3"/>
  <c r="AI139" i="3"/>
  <c r="X14" i="3"/>
  <c r="BD43" i="3" s="1"/>
  <c r="BD48" i="3" s="1"/>
  <c r="X12" i="3"/>
  <c r="BF43" i="3" s="1"/>
  <c r="BF48" i="3" s="1"/>
  <c r="AY43" i="3"/>
  <c r="AY48" i="3" s="1"/>
  <c r="BJ43" i="3"/>
  <c r="BJ48" i="3" s="1"/>
  <c r="AF14" i="3"/>
  <c r="AF22" i="3" s="1"/>
  <c r="BL43" i="3"/>
  <c r="BL48" i="3" s="1"/>
  <c r="BB43" i="3"/>
  <c r="BB48" i="3" s="1"/>
  <c r="AX43" i="3"/>
  <c r="W14" i="3"/>
  <c r="BD14" i="3" s="1"/>
  <c r="BD22" i="3" s="1"/>
  <c r="V13" i="3"/>
  <c r="AH14" i="3" s="1"/>
  <c r="AL14" i="3"/>
  <c r="BG43" i="3"/>
  <c r="BA43" i="3"/>
  <c r="BH43" i="3"/>
  <c r="BH47" i="3" s="1"/>
  <c r="AE22" i="3"/>
  <c r="AE28" i="3" s="1"/>
  <c r="BN43" i="3"/>
  <c r="AY66" i="3"/>
  <c r="AY71" i="3" s="1"/>
  <c r="BA72" i="3"/>
  <c r="AZ49" i="3"/>
  <c r="AX70" i="3"/>
  <c r="AX71" i="3"/>
  <c r="Y12" i="3"/>
  <c r="Y14" i="3"/>
  <c r="BJ66" i="3"/>
  <c r="Y13" i="3"/>
  <c r="BF14" i="3"/>
  <c r="BI14" i="3"/>
  <c r="AR14" i="3"/>
  <c r="AX14" i="3"/>
  <c r="W13" i="3"/>
  <c r="AY14" i="3"/>
  <c r="BJ14" i="3"/>
  <c r="V12" i="3"/>
  <c r="V14" i="3"/>
  <c r="E27" i="3"/>
  <c r="H38" i="3"/>
  <c r="C2" i="7"/>
  <c r="CF20" i="7" s="1"/>
  <c r="CJ20" i="7" s="1"/>
  <c r="CM5" i="7"/>
  <c r="CE5" i="7"/>
  <c r="CI5" i="7" s="1"/>
  <c r="CN5" i="7" s="1"/>
  <c r="C3" i="7"/>
  <c r="CF140" i="7" s="1"/>
  <c r="CK140" i="7" s="1"/>
  <c r="DH140" i="7" s="1"/>
  <c r="F4" i="7"/>
  <c r="CG169" i="7" s="1"/>
  <c r="DI169" i="7" s="1"/>
  <c r="CM6" i="7"/>
  <c r="CE6" i="7"/>
  <c r="CI6" i="7" s="1"/>
  <c r="CN6" i="7" s="1"/>
  <c r="CL7" i="7"/>
  <c r="CE7" i="7"/>
  <c r="CI7" i="7" s="1"/>
  <c r="CN7" i="7" s="1"/>
  <c r="CM8" i="7"/>
  <c r="CE8" i="7"/>
  <c r="CI8" i="7" s="1"/>
  <c r="CN8" i="7" s="1"/>
  <c r="CM9" i="7"/>
  <c r="CE9" i="7"/>
  <c r="CI9" i="7" s="1"/>
  <c r="CN9" i="7" s="1"/>
  <c r="CM10" i="7"/>
  <c r="CE10" i="7"/>
  <c r="CI10" i="7" s="1"/>
  <c r="CN10" i="7" s="1"/>
  <c r="CM11" i="7"/>
  <c r="CE11" i="7"/>
  <c r="CI11" i="7" s="1"/>
  <c r="CN11" i="7" s="1"/>
  <c r="CL13" i="7"/>
  <c r="CM14" i="7"/>
  <c r="CM15" i="7"/>
  <c r="CM16" i="7"/>
  <c r="CM17" i="7"/>
  <c r="CL17" i="7"/>
  <c r="CE4" i="7"/>
  <c r="CI4" i="7" s="1"/>
  <c r="CN4" i="7" s="1"/>
  <c r="CH4" i="7"/>
  <c r="CL4" i="7" s="1"/>
  <c r="F3" i="7"/>
  <c r="CG115" i="7" s="1"/>
  <c r="DI115" i="7" s="1"/>
  <c r="F2" i="7"/>
  <c r="CG93" i="7" s="1"/>
  <c r="DI93" i="7" s="1"/>
  <c r="E14" i="3"/>
  <c r="F22" i="3"/>
  <c r="C4" i="7"/>
  <c r="CE18" i="7"/>
  <c r="CI18" i="7" s="1"/>
  <c r="CN18" i="7" s="1"/>
  <c r="CE19" i="7"/>
  <c r="CI19" i="7" s="1"/>
  <c r="CN19" i="7" s="1"/>
  <c r="CL19" i="7"/>
  <c r="CE20" i="7"/>
  <c r="CI20" i="7" s="1"/>
  <c r="CN20" i="7" s="1"/>
  <c r="CM20" i="7"/>
  <c r="CE21" i="7"/>
  <c r="CI21" i="7" s="1"/>
  <c r="CN21" i="7" s="1"/>
  <c r="CL21" i="7"/>
  <c r="CM21" i="7"/>
  <c r="CE22" i="7"/>
  <c r="CI22" i="7" s="1"/>
  <c r="CN22" i="7" s="1"/>
  <c r="CL22" i="7"/>
  <c r="CE23" i="7"/>
  <c r="CI23" i="7" s="1"/>
  <c r="CN23" i="7" s="1"/>
  <c r="CM23" i="7"/>
  <c r="CE24" i="7"/>
  <c r="CI24" i="7" s="1"/>
  <c r="CN24" i="7" s="1"/>
  <c r="CL24" i="7"/>
  <c r="CE25" i="7"/>
  <c r="CI25" i="7" s="1"/>
  <c r="CN25" i="7" s="1"/>
  <c r="CM25" i="7"/>
  <c r="CE26" i="7"/>
  <c r="CI26" i="7" s="1"/>
  <c r="CN26" i="7" s="1"/>
  <c r="CL26" i="7"/>
  <c r="CE27" i="7"/>
  <c r="CI27" i="7" s="1"/>
  <c r="CL27" i="7"/>
  <c r="CE28" i="7"/>
  <c r="CI28" i="7" s="1"/>
  <c r="CN28" i="7" s="1"/>
  <c r="CM28" i="7"/>
  <c r="CE29" i="7"/>
  <c r="CI29" i="7" s="1"/>
  <c r="CN29" i="7" s="1"/>
  <c r="CM29" i="7"/>
  <c r="CE30" i="7"/>
  <c r="CI30" i="7" s="1"/>
  <c r="CN30" i="7" s="1"/>
  <c r="CL30" i="7"/>
  <c r="CE31" i="7"/>
  <c r="CI31" i="7" s="1"/>
  <c r="CN31" i="7" s="1"/>
  <c r="CE32" i="7"/>
  <c r="CI32" i="7" s="1"/>
  <c r="CN32" i="7" s="1"/>
  <c r="CM32" i="7"/>
  <c r="CE33" i="7"/>
  <c r="CI33" i="7" s="1"/>
  <c r="CN33" i="7" s="1"/>
  <c r="CM33" i="7"/>
  <c r="CE34" i="7"/>
  <c r="CI34" i="7" s="1"/>
  <c r="CN34" i="7" s="1"/>
  <c r="CM34" i="7"/>
  <c r="CL34" i="7"/>
  <c r="CE35" i="7"/>
  <c r="CI35" i="7" s="1"/>
  <c r="CN35" i="7" s="1"/>
  <c r="CE36" i="7"/>
  <c r="CI36" i="7" s="1"/>
  <c r="CN36" i="7" s="1"/>
  <c r="CM36" i="7"/>
  <c r="CE37" i="7"/>
  <c r="CI37" i="7" s="1"/>
  <c r="CN37" i="7" s="1"/>
  <c r="CL37" i="7"/>
  <c r="CE38" i="7"/>
  <c r="CI38" i="7" s="1"/>
  <c r="CN38" i="7" s="1"/>
  <c r="CL38" i="7"/>
  <c r="CM38" i="7"/>
  <c r="CE39" i="7"/>
  <c r="CI39" i="7" s="1"/>
  <c r="CN39" i="7" s="1"/>
  <c r="CL39" i="7"/>
  <c r="CE40" i="7"/>
  <c r="CI40" i="7" s="1"/>
  <c r="CN40" i="7" s="1"/>
  <c r="CL40" i="7"/>
  <c r="CE41" i="7"/>
  <c r="CI41" i="7" s="1"/>
  <c r="CN41" i="7" s="1"/>
  <c r="CL41" i="7"/>
  <c r="CE42" i="7"/>
  <c r="CI42" i="7" s="1"/>
  <c r="CN42" i="7" s="1"/>
  <c r="CE43" i="7"/>
  <c r="CI43" i="7" s="1"/>
  <c r="CN43" i="7" s="1"/>
  <c r="CM43" i="7"/>
  <c r="CE44" i="7"/>
  <c r="CI44" i="7" s="1"/>
  <c r="CN44" i="7" s="1"/>
  <c r="CM44" i="7"/>
  <c r="CE45" i="7"/>
  <c r="CI45" i="7" s="1"/>
  <c r="CN45" i="7" s="1"/>
  <c r="CL45" i="7"/>
  <c r="CE46" i="7"/>
  <c r="CI46" i="7" s="1"/>
  <c r="CL46" i="7"/>
  <c r="CM46" i="7"/>
  <c r="CE47" i="7"/>
  <c r="CI47" i="7" s="1"/>
  <c r="CN47" i="7" s="1"/>
  <c r="CL47" i="7"/>
  <c r="CE48" i="7"/>
  <c r="CI48" i="7" s="1"/>
  <c r="CN48" i="7" s="1"/>
  <c r="CM48" i="7"/>
  <c r="CE49" i="7"/>
  <c r="CI49" i="7" s="1"/>
  <c r="CN49" i="7" s="1"/>
  <c r="CL49" i="7"/>
  <c r="CE50" i="7"/>
  <c r="CI50" i="7" s="1"/>
  <c r="CE51" i="7"/>
  <c r="CI51" i="7" s="1"/>
  <c r="CN51" i="7" s="1"/>
  <c r="CM51" i="7"/>
  <c r="CE52" i="7"/>
  <c r="CI52" i="7" s="1"/>
  <c r="CN52" i="7" s="1"/>
  <c r="CL52" i="7"/>
  <c r="CE53" i="7"/>
  <c r="CI53" i="7" s="1"/>
  <c r="CN53" i="7" s="1"/>
  <c r="CM53" i="7"/>
  <c r="CE16" i="7"/>
  <c r="CI16" i="7" s="1"/>
  <c r="CN16" i="7" s="1"/>
  <c r="CE17" i="7"/>
  <c r="CI17" i="7" s="1"/>
  <c r="CN17" i="7" s="1"/>
  <c r="CE12" i="7"/>
  <c r="CI12" i="7" s="1"/>
  <c r="CN12" i="7" s="1"/>
  <c r="CE13" i="7"/>
  <c r="CI13" i="7" s="1"/>
  <c r="CN13" i="7" s="1"/>
  <c r="CE14" i="7"/>
  <c r="CI14" i="7" s="1"/>
  <c r="CN14" i="7" s="1"/>
  <c r="CE15" i="7"/>
  <c r="CI15" i="7" s="1"/>
  <c r="CN15" i="7" s="1"/>
  <c r="CL11" i="7"/>
  <c r="CL14" i="7"/>
  <c r="CL15" i="7"/>
  <c r="C616" i="6"/>
  <c r="B4" i="6"/>
  <c r="CM13" i="7"/>
  <c r="CL16" i="7"/>
  <c r="CL53" i="7"/>
  <c r="CL9" i="7"/>
  <c r="CM41" i="7"/>
  <c r="CM37" i="7"/>
  <c r="CM49" i="7"/>
  <c r="CL10" i="7"/>
  <c r="CM27" i="7"/>
  <c r="CL28" i="7"/>
  <c r="CM26" i="7"/>
  <c r="D38" i="3"/>
  <c r="J28" i="3" l="1"/>
  <c r="J25" i="3" s="1"/>
  <c r="CM40" i="7"/>
  <c r="CL50" i="7"/>
  <c r="CM50" i="7"/>
  <c r="CL35" i="7"/>
  <c r="CM35" i="7"/>
  <c r="CL48" i="7"/>
  <c r="CM22" i="7"/>
  <c r="CM42" i="7"/>
  <c r="CL42" i="7"/>
  <c r="CM12" i="7"/>
  <c r="CL12" i="7"/>
  <c r="CL43" i="7"/>
  <c r="CL18" i="7"/>
  <c r="CM18" i="7"/>
  <c r="CM4" i="7"/>
  <c r="CL51" i="7"/>
  <c r="CM47" i="7"/>
  <c r="CL23" i="7"/>
  <c r="CL36" i="7"/>
  <c r="CL6" i="7"/>
  <c r="CL32" i="7"/>
  <c r="AJ139" i="3"/>
  <c r="AJ140" i="3"/>
  <c r="AK135" i="3"/>
  <c r="AK158" i="3"/>
  <c r="AJ163" i="3"/>
  <c r="AJ162" i="3"/>
  <c r="AK181" i="3"/>
  <c r="AJ186" i="3"/>
  <c r="AJ185" i="3"/>
  <c r="BF47" i="3"/>
  <c r="BM43" i="3"/>
  <c r="BM48" i="3" s="1"/>
  <c r="BD47" i="3"/>
  <c r="BC43" i="3"/>
  <c r="BC47" i="3" s="1"/>
  <c r="AZ43" i="3"/>
  <c r="AZ48" i="3" s="1"/>
  <c r="BK43" i="3"/>
  <c r="BK47" i="3" s="1"/>
  <c r="BE43" i="3"/>
  <c r="BE48" i="3" s="1"/>
  <c r="AY47" i="3"/>
  <c r="BI43" i="3"/>
  <c r="BI48" i="3" s="1"/>
  <c r="BB47" i="3"/>
  <c r="H40" i="3"/>
  <c r="BJ47" i="3"/>
  <c r="BL47" i="3"/>
  <c r="BK14" i="3"/>
  <c r="BK18" i="3" s="1"/>
  <c r="BD18" i="3"/>
  <c r="AZ14" i="3"/>
  <c r="AZ18" i="3" s="1"/>
  <c r="BM14" i="3"/>
  <c r="BM18" i="3" s="1"/>
  <c r="BE14" i="3"/>
  <c r="BE18" i="3" s="1"/>
  <c r="AF18" i="3"/>
  <c r="BC14" i="3"/>
  <c r="BC18" i="3" s="1"/>
  <c r="AL22" i="3"/>
  <c r="AL18" i="3"/>
  <c r="AQ14" i="3"/>
  <c r="AT14" i="3"/>
  <c r="AW14" i="3"/>
  <c r="AN14" i="3"/>
  <c r="AN18" i="3" s="1"/>
  <c r="AX47" i="3"/>
  <c r="AX48" i="3"/>
  <c r="AK14" i="3"/>
  <c r="AK22" i="3" s="1"/>
  <c r="AE26" i="3"/>
  <c r="AE27" i="3" s="1"/>
  <c r="AE29" i="3" s="1"/>
  <c r="AE30" i="3" s="1"/>
  <c r="CE170" i="7"/>
  <c r="CJ170" i="7" s="1"/>
  <c r="DG170" i="7" s="1"/>
  <c r="CG181" i="7"/>
  <c r="DI181" i="7" s="1"/>
  <c r="CE184" i="7"/>
  <c r="CJ184" i="7" s="1"/>
  <c r="DG184" i="7" s="1"/>
  <c r="CE117" i="7"/>
  <c r="CJ117" i="7" s="1"/>
  <c r="DG117" i="7" s="1"/>
  <c r="CE146" i="7"/>
  <c r="CJ146" i="7" s="1"/>
  <c r="DG146" i="7" s="1"/>
  <c r="CE129" i="7"/>
  <c r="CJ129" i="7" s="1"/>
  <c r="DG129" i="7" s="1"/>
  <c r="CE173" i="7"/>
  <c r="CJ173" i="7" s="1"/>
  <c r="DG173" i="7" s="1"/>
  <c r="CE181" i="7"/>
  <c r="CJ181" i="7" s="1"/>
  <c r="DG181" i="7" s="1"/>
  <c r="CE137" i="7"/>
  <c r="CJ137" i="7" s="1"/>
  <c r="DG137" i="7" s="1"/>
  <c r="CF44" i="7"/>
  <c r="CJ44" i="7" s="1"/>
  <c r="CO44" i="7" s="1"/>
  <c r="CP44" i="7" s="1"/>
  <c r="CF30" i="7"/>
  <c r="CJ30" i="7" s="1"/>
  <c r="CF5" i="7"/>
  <c r="CJ5" i="7" s="1"/>
  <c r="CQ5" i="7" s="1"/>
  <c r="CE78" i="7"/>
  <c r="CJ78" i="7" s="1"/>
  <c r="DG78" i="7" s="1"/>
  <c r="CF29" i="7"/>
  <c r="CJ29" i="7" s="1"/>
  <c r="CO29" i="7" s="1"/>
  <c r="CP29" i="7" s="1"/>
  <c r="CF8" i="7"/>
  <c r="CJ8" i="7" s="1"/>
  <c r="CQ8" i="7" s="1"/>
  <c r="CF19" i="7"/>
  <c r="CJ19" i="7" s="1"/>
  <c r="CE62" i="7"/>
  <c r="CJ62" i="7" s="1"/>
  <c r="DG62" i="7" s="1"/>
  <c r="CF43" i="7"/>
  <c r="CJ43" i="7" s="1"/>
  <c r="CO43" i="7" s="1"/>
  <c r="CP43" i="7" s="1"/>
  <c r="BH48" i="3"/>
  <c r="BG48" i="3"/>
  <c r="BG47" i="3"/>
  <c r="CG188" i="7"/>
  <c r="DI188" i="7" s="1"/>
  <c r="CG147" i="7"/>
  <c r="DI147" i="7" s="1"/>
  <c r="CG132" i="7"/>
  <c r="DI132" i="7" s="1"/>
  <c r="CG197" i="7"/>
  <c r="DI197" i="7" s="1"/>
  <c r="CG191" i="7"/>
  <c r="DI191" i="7" s="1"/>
  <c r="CG156" i="7"/>
  <c r="DI156" i="7" s="1"/>
  <c r="CG195" i="7"/>
  <c r="DI195" i="7" s="1"/>
  <c r="CG133" i="7"/>
  <c r="DI133" i="7" s="1"/>
  <c r="CG139" i="7"/>
  <c r="DI139" i="7" s="1"/>
  <c r="CG172" i="7"/>
  <c r="DI172" i="7" s="1"/>
  <c r="CG184" i="7"/>
  <c r="DI184" i="7" s="1"/>
  <c r="CG173" i="7"/>
  <c r="DI173" i="7" s="1"/>
  <c r="CG125" i="7"/>
  <c r="DI125" i="7" s="1"/>
  <c r="CG134" i="7"/>
  <c r="DI134" i="7" s="1"/>
  <c r="CG185" i="7"/>
  <c r="DI185" i="7" s="1"/>
  <c r="CG201" i="7"/>
  <c r="DI201" i="7" s="1"/>
  <c r="CG145" i="7"/>
  <c r="DI145" i="7" s="1"/>
  <c r="CG160" i="7"/>
  <c r="DI160" i="7" s="1"/>
  <c r="CG178" i="7"/>
  <c r="DI178" i="7" s="1"/>
  <c r="CG110" i="7"/>
  <c r="DI110" i="7" s="1"/>
  <c r="CE196" i="7"/>
  <c r="CJ196" i="7" s="1"/>
  <c r="DG196" i="7" s="1"/>
  <c r="CF15" i="7"/>
  <c r="CJ15" i="7" s="1"/>
  <c r="CO15" i="7" s="1"/>
  <c r="CP15" i="7" s="1"/>
  <c r="CE116" i="7"/>
  <c r="CJ116" i="7" s="1"/>
  <c r="DG116" i="7" s="1"/>
  <c r="CE73" i="7"/>
  <c r="CJ73" i="7" s="1"/>
  <c r="DG73" i="7" s="1"/>
  <c r="CE138" i="7"/>
  <c r="CJ138" i="7" s="1"/>
  <c r="DG138" i="7" s="1"/>
  <c r="AY70" i="3"/>
  <c r="CF12" i="7"/>
  <c r="CJ12" i="7" s="1"/>
  <c r="CF10" i="7"/>
  <c r="CJ10" i="7" s="1"/>
  <c r="CO10" i="7" s="1"/>
  <c r="CP10" i="7" s="1"/>
  <c r="CE128" i="7"/>
  <c r="CJ128" i="7" s="1"/>
  <c r="DG128" i="7" s="1"/>
  <c r="CE155" i="7"/>
  <c r="CJ155" i="7" s="1"/>
  <c r="DG155" i="7" s="1"/>
  <c r="CE133" i="7"/>
  <c r="CJ133" i="7" s="1"/>
  <c r="DG133" i="7" s="1"/>
  <c r="BN47" i="3"/>
  <c r="BN48" i="3"/>
  <c r="CE197" i="7"/>
  <c r="CJ197" i="7" s="1"/>
  <c r="DG197" i="7" s="1"/>
  <c r="CE77" i="7"/>
  <c r="CJ77" i="7" s="1"/>
  <c r="DG77" i="7" s="1"/>
  <c r="CE176" i="7"/>
  <c r="CJ176" i="7" s="1"/>
  <c r="DG176" i="7" s="1"/>
  <c r="CE180" i="7"/>
  <c r="CJ180" i="7" s="1"/>
  <c r="DG180" i="7" s="1"/>
  <c r="CE121" i="7"/>
  <c r="CJ121" i="7" s="1"/>
  <c r="DG121" i="7" s="1"/>
  <c r="CE200" i="7"/>
  <c r="CJ200" i="7" s="1"/>
  <c r="DG200" i="7" s="1"/>
  <c r="CF4" i="7"/>
  <c r="CJ4" i="7" s="1"/>
  <c r="CE107" i="7"/>
  <c r="CJ107" i="7" s="1"/>
  <c r="DG107" i="7" s="1"/>
  <c r="CF26" i="7"/>
  <c r="CJ26" i="7" s="1"/>
  <c r="CO26" i="7" s="1"/>
  <c r="CP26" i="7" s="1"/>
  <c r="CE87" i="7"/>
  <c r="CJ87" i="7" s="1"/>
  <c r="DG87" i="7" s="1"/>
  <c r="BA47" i="3"/>
  <c r="BA48" i="3"/>
  <c r="CG199" i="7"/>
  <c r="DI199" i="7" s="1"/>
  <c r="CG192" i="7"/>
  <c r="DI192" i="7" s="1"/>
  <c r="CG174" i="7"/>
  <c r="DI174" i="7" s="1"/>
  <c r="CG204" i="7"/>
  <c r="DI204" i="7" s="1"/>
  <c r="CG189" i="7"/>
  <c r="DI189" i="7" s="1"/>
  <c r="CG193" i="7"/>
  <c r="DI193" i="7" s="1"/>
  <c r="CG127" i="7"/>
  <c r="DI127" i="7" s="1"/>
  <c r="CG114" i="7"/>
  <c r="DI114" i="7" s="1"/>
  <c r="CG142" i="7"/>
  <c r="DI142" i="7" s="1"/>
  <c r="CG119" i="7"/>
  <c r="DI119" i="7" s="1"/>
  <c r="CG135" i="7"/>
  <c r="DI135" i="7" s="1"/>
  <c r="CG148" i="7"/>
  <c r="DI148" i="7" s="1"/>
  <c r="CG121" i="7"/>
  <c r="DI121" i="7" s="1"/>
  <c r="CG126" i="7"/>
  <c r="DI126" i="7" s="1"/>
  <c r="CG177" i="7"/>
  <c r="DI177" i="7" s="1"/>
  <c r="CG194" i="7"/>
  <c r="DI194" i="7" s="1"/>
  <c r="CG157" i="7"/>
  <c r="DI157" i="7" s="1"/>
  <c r="G4" i="7"/>
  <c r="E740" i="6" s="1"/>
  <c r="CG158" i="7"/>
  <c r="DI158" i="7" s="1"/>
  <c r="CG166" i="7"/>
  <c r="DI166" i="7" s="1"/>
  <c r="CG141" i="7"/>
  <c r="DI141" i="7" s="1"/>
  <c r="CG154" i="7"/>
  <c r="DI154" i="7" s="1"/>
  <c r="CG155" i="7"/>
  <c r="DI155" i="7" s="1"/>
  <c r="CG151" i="7"/>
  <c r="DI151" i="7" s="1"/>
  <c r="CG118" i="7"/>
  <c r="DI118" i="7" s="1"/>
  <c r="CG149" i="7"/>
  <c r="DI149" i="7" s="1"/>
  <c r="CG187" i="7"/>
  <c r="DI187" i="7" s="1"/>
  <c r="CG159" i="7"/>
  <c r="DI159" i="7" s="1"/>
  <c r="CG128" i="7"/>
  <c r="DI128" i="7" s="1"/>
  <c r="CG120" i="7"/>
  <c r="DI120" i="7" s="1"/>
  <c r="CG143" i="7"/>
  <c r="DI143" i="7" s="1"/>
  <c r="CG203" i="7"/>
  <c r="DI203" i="7" s="1"/>
  <c r="CG186" i="7"/>
  <c r="DI186" i="7" s="1"/>
  <c r="CG167" i="7"/>
  <c r="DI167" i="7" s="1"/>
  <c r="CG171" i="7"/>
  <c r="DI171" i="7" s="1"/>
  <c r="CG202" i="7"/>
  <c r="DI202" i="7" s="1"/>
  <c r="CG175" i="7"/>
  <c r="DI175" i="7" s="1"/>
  <c r="CG200" i="7"/>
  <c r="DI200" i="7" s="1"/>
  <c r="CG129" i="7"/>
  <c r="DI129" i="7" s="1"/>
  <c r="CG117" i="7"/>
  <c r="DI117" i="7" s="1"/>
  <c r="CG131" i="7"/>
  <c r="DI131" i="7" s="1"/>
  <c r="CG124" i="7"/>
  <c r="DI124" i="7" s="1"/>
  <c r="CG107" i="7"/>
  <c r="DI107" i="7" s="1"/>
  <c r="CG144" i="7"/>
  <c r="DI144" i="7" s="1"/>
  <c r="CG123" i="7"/>
  <c r="DI123" i="7" s="1"/>
  <c r="CG206" i="7"/>
  <c r="DI206" i="7" s="1"/>
  <c r="CG165" i="7"/>
  <c r="DI165" i="7" s="1"/>
  <c r="CG176" i="7"/>
  <c r="DI176" i="7" s="1"/>
  <c r="CG161" i="7"/>
  <c r="DI161" i="7" s="1"/>
  <c r="CG152" i="7"/>
  <c r="DI152" i="7" s="1"/>
  <c r="CG113" i="7"/>
  <c r="DI113" i="7" s="1"/>
  <c r="CG140" i="7"/>
  <c r="DI140" i="7" s="1"/>
  <c r="CG111" i="7"/>
  <c r="DI111" i="7" s="1"/>
  <c r="CG168" i="7"/>
  <c r="DI168" i="7" s="1"/>
  <c r="CG163" i="7"/>
  <c r="DI163" i="7" s="1"/>
  <c r="CG136" i="7"/>
  <c r="DI136" i="7" s="1"/>
  <c r="CG137" i="7"/>
  <c r="DI137" i="7" s="1"/>
  <c r="CG130" i="7"/>
  <c r="DI130" i="7" s="1"/>
  <c r="CG153" i="7"/>
  <c r="DI153" i="7" s="1"/>
  <c r="CG112" i="7"/>
  <c r="DI112" i="7" s="1"/>
  <c r="G3" i="7"/>
  <c r="E729" i="6" s="1"/>
  <c r="CG109" i="7"/>
  <c r="DI109" i="7" s="1"/>
  <c r="CG122" i="7"/>
  <c r="DI122" i="7" s="1"/>
  <c r="CG162" i="7"/>
  <c r="DI162" i="7" s="1"/>
  <c r="CG180" i="7"/>
  <c r="DI180" i="7" s="1"/>
  <c r="CG170" i="7"/>
  <c r="DI170" i="7" s="1"/>
  <c r="CG196" i="7"/>
  <c r="DI196" i="7" s="1"/>
  <c r="CG190" i="7"/>
  <c r="DI190" i="7" s="1"/>
  <c r="CG198" i="7"/>
  <c r="DI198" i="7" s="1"/>
  <c r="CG164" i="7"/>
  <c r="DI164" i="7" s="1"/>
  <c r="CG182" i="7"/>
  <c r="DI182" i="7" s="1"/>
  <c r="CG183" i="7"/>
  <c r="DI183" i="7" s="1"/>
  <c r="CG179" i="7"/>
  <c r="DI179" i="7" s="1"/>
  <c r="CG205" i="7"/>
  <c r="DI205" i="7" s="1"/>
  <c r="CG116" i="7"/>
  <c r="DI116" i="7" s="1"/>
  <c r="CG108" i="7"/>
  <c r="DI108" i="7" s="1"/>
  <c r="CG138" i="7"/>
  <c r="DI138" i="7" s="1"/>
  <c r="CG150" i="7"/>
  <c r="DI150" i="7" s="1"/>
  <c r="CG146" i="7"/>
  <c r="DI146" i="7" s="1"/>
  <c r="BF22" i="3"/>
  <c r="BF18" i="3"/>
  <c r="AR18" i="3"/>
  <c r="AR22" i="3"/>
  <c r="AP14" i="3"/>
  <c r="AJ14" i="3"/>
  <c r="AU14" i="3"/>
  <c r="AI14" i="3"/>
  <c r="AO14" i="3"/>
  <c r="AV14" i="3"/>
  <c r="AX22" i="3"/>
  <c r="AX18" i="3"/>
  <c r="BJ18" i="3"/>
  <c r="BJ22" i="3"/>
  <c r="BB66" i="3"/>
  <c r="BN66" i="3"/>
  <c r="BA66" i="3"/>
  <c r="BH66" i="3"/>
  <c r="BL66" i="3"/>
  <c r="BG66" i="3"/>
  <c r="BN14" i="3"/>
  <c r="BA14" i="3"/>
  <c r="BB14" i="3"/>
  <c r="BG14" i="3"/>
  <c r="BH14" i="3"/>
  <c r="BL14" i="3"/>
  <c r="BE66" i="3"/>
  <c r="BM66" i="3"/>
  <c r="AZ66" i="3"/>
  <c r="BK66" i="3"/>
  <c r="BD66" i="3"/>
  <c r="BC66" i="3"/>
  <c r="BI66" i="3"/>
  <c r="BF66" i="3"/>
  <c r="AS14" i="3"/>
  <c r="AM14" i="3"/>
  <c r="AG14" i="3"/>
  <c r="AH22" i="3"/>
  <c r="AH18" i="3"/>
  <c r="AY18" i="3"/>
  <c r="AY22" i="3"/>
  <c r="BI22" i="3"/>
  <c r="BI18" i="3"/>
  <c r="BJ71" i="3"/>
  <c r="BJ70" i="3"/>
  <c r="CG73" i="7"/>
  <c r="DI73" i="7" s="1"/>
  <c r="H42" i="3"/>
  <c r="CE108" i="7"/>
  <c r="CJ108" i="7" s="1"/>
  <c r="DG108" i="7" s="1"/>
  <c r="CE131" i="7"/>
  <c r="CJ131" i="7" s="1"/>
  <c r="DG131" i="7" s="1"/>
  <c r="CE166" i="7"/>
  <c r="CJ166" i="7" s="1"/>
  <c r="DG166" i="7" s="1"/>
  <c r="CE158" i="7"/>
  <c r="CJ158" i="7" s="1"/>
  <c r="DG158" i="7" s="1"/>
  <c r="CE154" i="7"/>
  <c r="CJ154" i="7" s="1"/>
  <c r="DG154" i="7" s="1"/>
  <c r="CE127" i="7"/>
  <c r="CJ127" i="7" s="1"/>
  <c r="DG127" i="7" s="1"/>
  <c r="CE99" i="7"/>
  <c r="CJ99" i="7" s="1"/>
  <c r="DG99" i="7" s="1"/>
  <c r="CE171" i="7"/>
  <c r="CJ171" i="7" s="1"/>
  <c r="DG171" i="7" s="1"/>
  <c r="CE85" i="7"/>
  <c r="CJ85" i="7" s="1"/>
  <c r="DG85" i="7" s="1"/>
  <c r="CE136" i="7"/>
  <c r="CJ136" i="7" s="1"/>
  <c r="DG136" i="7" s="1"/>
  <c r="CE198" i="7"/>
  <c r="CJ198" i="7" s="1"/>
  <c r="DG198" i="7" s="1"/>
  <c r="CE81" i="7"/>
  <c r="CJ81" i="7" s="1"/>
  <c r="DG81" i="7" s="1"/>
  <c r="CE122" i="7"/>
  <c r="CJ122" i="7" s="1"/>
  <c r="DG122" i="7" s="1"/>
  <c r="CE115" i="7"/>
  <c r="CJ115" i="7" s="1"/>
  <c r="DG115" i="7" s="1"/>
  <c r="CF9" i="7"/>
  <c r="CJ9" i="7" s="1"/>
  <c r="CO9" i="7" s="1"/>
  <c r="CP9" i="7" s="1"/>
  <c r="CE95" i="7"/>
  <c r="CJ95" i="7" s="1"/>
  <c r="DG95" i="7" s="1"/>
  <c r="CE178" i="7"/>
  <c r="CJ178" i="7" s="1"/>
  <c r="DG178" i="7" s="1"/>
  <c r="CE88" i="7"/>
  <c r="CJ88" i="7" s="1"/>
  <c r="DG88" i="7" s="1"/>
  <c r="CE83" i="7"/>
  <c r="CJ83" i="7" s="1"/>
  <c r="DG83" i="7" s="1"/>
  <c r="CF24" i="7"/>
  <c r="CJ24" i="7" s="1"/>
  <c r="CE113" i="7"/>
  <c r="CJ113" i="7" s="1"/>
  <c r="DG113" i="7" s="1"/>
  <c r="CE70" i="7"/>
  <c r="CJ70" i="7" s="1"/>
  <c r="DG70" i="7" s="1"/>
  <c r="CF22" i="7"/>
  <c r="CJ22" i="7" s="1"/>
  <c r="CF13" i="7"/>
  <c r="CJ13" i="7" s="1"/>
  <c r="CO13" i="7" s="1"/>
  <c r="CP13" i="7" s="1"/>
  <c r="CE201" i="7"/>
  <c r="CJ201" i="7" s="1"/>
  <c r="DG201" i="7" s="1"/>
  <c r="CE189" i="7"/>
  <c r="CJ189" i="7" s="1"/>
  <c r="DG189" i="7" s="1"/>
  <c r="CE112" i="7"/>
  <c r="CJ112" i="7" s="1"/>
  <c r="DG112" i="7" s="1"/>
  <c r="CE69" i="7"/>
  <c r="CJ69" i="7" s="1"/>
  <c r="DG69" i="7" s="1"/>
  <c r="CE105" i="7"/>
  <c r="CJ105" i="7" s="1"/>
  <c r="DG105" i="7" s="1"/>
  <c r="CF23" i="7"/>
  <c r="CJ23" i="7" s="1"/>
  <c r="CQ23" i="7" s="1"/>
  <c r="CE153" i="7"/>
  <c r="CJ153" i="7" s="1"/>
  <c r="DG153" i="7" s="1"/>
  <c r="CF17" i="7"/>
  <c r="CJ17" i="7" s="1"/>
  <c r="CO17" i="7" s="1"/>
  <c r="CP17" i="7" s="1"/>
  <c r="CE141" i="7"/>
  <c r="CJ141" i="7" s="1"/>
  <c r="DG141" i="7" s="1"/>
  <c r="CF34" i="7"/>
  <c r="CJ34" i="7" s="1"/>
  <c r="CO34" i="7" s="1"/>
  <c r="CP34" i="7" s="1"/>
  <c r="CE126" i="7"/>
  <c r="CJ126" i="7" s="1"/>
  <c r="DG126" i="7" s="1"/>
  <c r="CE76" i="7"/>
  <c r="CJ76" i="7" s="1"/>
  <c r="DG76" i="7" s="1"/>
  <c r="CE68" i="7"/>
  <c r="CJ68" i="7" s="1"/>
  <c r="DG68" i="7" s="1"/>
  <c r="CE156" i="7"/>
  <c r="CJ156" i="7" s="1"/>
  <c r="DG156" i="7" s="1"/>
  <c r="CE140" i="7"/>
  <c r="CJ140" i="7" s="1"/>
  <c r="DG140" i="7" s="1"/>
  <c r="CE144" i="7"/>
  <c r="CJ144" i="7" s="1"/>
  <c r="DG144" i="7" s="1"/>
  <c r="CF27" i="7"/>
  <c r="CJ27" i="7" s="1"/>
  <c r="CO27" i="7" s="1"/>
  <c r="CE82" i="7"/>
  <c r="CJ82" i="7" s="1"/>
  <c r="DG82" i="7" s="1"/>
  <c r="CE64" i="7"/>
  <c r="CJ64" i="7" s="1"/>
  <c r="DG64" i="7" s="1"/>
  <c r="CE123" i="7"/>
  <c r="CJ123" i="7" s="1"/>
  <c r="DG123" i="7" s="1"/>
  <c r="CE164" i="7"/>
  <c r="CJ164" i="7" s="1"/>
  <c r="DG164" i="7" s="1"/>
  <c r="CE204" i="7"/>
  <c r="CJ204" i="7" s="1"/>
  <c r="DG204" i="7" s="1"/>
  <c r="CF45" i="7"/>
  <c r="CJ45" i="7" s="1"/>
  <c r="CE63" i="7"/>
  <c r="CJ63" i="7" s="1"/>
  <c r="DG63" i="7" s="1"/>
  <c r="CF38" i="7"/>
  <c r="CJ38" i="7" s="1"/>
  <c r="CQ38" i="7" s="1"/>
  <c r="CF31" i="7"/>
  <c r="CJ31" i="7" s="1"/>
  <c r="CF6" i="7"/>
  <c r="CJ6" i="7" s="1"/>
  <c r="CO6" i="7" s="1"/>
  <c r="CP6" i="7" s="1"/>
  <c r="CE59" i="7"/>
  <c r="CJ59" i="7" s="1"/>
  <c r="DG59" i="7" s="1"/>
  <c r="CF16" i="7"/>
  <c r="CJ16" i="7" s="1"/>
  <c r="CO16" i="7" s="1"/>
  <c r="CP16" i="7" s="1"/>
  <c r="CE191" i="7"/>
  <c r="CJ191" i="7" s="1"/>
  <c r="DG191" i="7" s="1"/>
  <c r="CE114" i="7"/>
  <c r="CJ114" i="7" s="1"/>
  <c r="DG114" i="7" s="1"/>
  <c r="CE187" i="7"/>
  <c r="CJ187" i="7" s="1"/>
  <c r="DG187" i="7" s="1"/>
  <c r="CE169" i="7"/>
  <c r="CJ169" i="7" s="1"/>
  <c r="DG169" i="7" s="1"/>
  <c r="CF40" i="7"/>
  <c r="CJ40" i="7" s="1"/>
  <c r="CE86" i="7"/>
  <c r="CJ86" i="7" s="1"/>
  <c r="DG86" i="7" s="1"/>
  <c r="CE177" i="7"/>
  <c r="CJ177" i="7" s="1"/>
  <c r="DG177" i="7" s="1"/>
  <c r="CE101" i="7"/>
  <c r="CJ101" i="7" s="1"/>
  <c r="DG101" i="7" s="1"/>
  <c r="CE202" i="7"/>
  <c r="CJ202" i="7" s="1"/>
  <c r="DG202" i="7" s="1"/>
  <c r="CE118" i="7"/>
  <c r="CJ118" i="7" s="1"/>
  <c r="DG118" i="7" s="1"/>
  <c r="CE72" i="7"/>
  <c r="CJ72" i="7" s="1"/>
  <c r="DG72" i="7" s="1"/>
  <c r="CE60" i="7"/>
  <c r="CJ60" i="7" s="1"/>
  <c r="DG60" i="7" s="1"/>
  <c r="CF37" i="7"/>
  <c r="CJ37" i="7" s="1"/>
  <c r="CQ37" i="7" s="1"/>
  <c r="CE193" i="7"/>
  <c r="CJ193" i="7" s="1"/>
  <c r="DG193" i="7" s="1"/>
  <c r="CE182" i="7"/>
  <c r="CJ182" i="7" s="1"/>
  <c r="DG182" i="7" s="1"/>
  <c r="CF36" i="7"/>
  <c r="CJ36" i="7" s="1"/>
  <c r="CO36" i="7" s="1"/>
  <c r="CP36" i="7" s="1"/>
  <c r="CE203" i="7"/>
  <c r="CJ203" i="7" s="1"/>
  <c r="DG203" i="7" s="1"/>
  <c r="CE139" i="7"/>
  <c r="CJ139" i="7" s="1"/>
  <c r="DG139" i="7" s="1"/>
  <c r="CE160" i="7"/>
  <c r="CJ160" i="7" s="1"/>
  <c r="DG160" i="7" s="1"/>
  <c r="CE175" i="7"/>
  <c r="CJ175" i="7" s="1"/>
  <c r="DG175" i="7" s="1"/>
  <c r="CE186" i="7"/>
  <c r="CJ186" i="7" s="1"/>
  <c r="DG186" i="7" s="1"/>
  <c r="CF39" i="7"/>
  <c r="CJ39" i="7" s="1"/>
  <c r="CE120" i="7"/>
  <c r="CJ120" i="7" s="1"/>
  <c r="DG120" i="7" s="1"/>
  <c r="CE90" i="7"/>
  <c r="CJ90" i="7" s="1"/>
  <c r="DG90" i="7" s="1"/>
  <c r="CE194" i="7"/>
  <c r="CJ194" i="7" s="1"/>
  <c r="DG194" i="7" s="1"/>
  <c r="CE100" i="7"/>
  <c r="CJ100" i="7" s="1"/>
  <c r="DG100" i="7" s="1"/>
  <c r="CE199" i="7"/>
  <c r="CJ199" i="7" s="1"/>
  <c r="DG199" i="7" s="1"/>
  <c r="CG80" i="7"/>
  <c r="DI80" i="7" s="1"/>
  <c r="CF169" i="7"/>
  <c r="CK169" i="7" s="1"/>
  <c r="DH169" i="7" s="1"/>
  <c r="CG104" i="7"/>
  <c r="DI104" i="7" s="1"/>
  <c r="CF104" i="7"/>
  <c r="CK104" i="7" s="1"/>
  <c r="DH104" i="7" s="1"/>
  <c r="CF157" i="7"/>
  <c r="CK157" i="7" s="1"/>
  <c r="DH157" i="7" s="1"/>
  <c r="CF100" i="7"/>
  <c r="CK100" i="7" s="1"/>
  <c r="DH100" i="7" s="1"/>
  <c r="CF70" i="7"/>
  <c r="CK70" i="7" s="1"/>
  <c r="DH70" i="7" s="1"/>
  <c r="CF73" i="7"/>
  <c r="CK73" i="7" s="1"/>
  <c r="DH73" i="7" s="1"/>
  <c r="CF132" i="7"/>
  <c r="CK132" i="7" s="1"/>
  <c r="DH132" i="7" s="1"/>
  <c r="CG4" i="7"/>
  <c r="CK4" i="7" s="1"/>
  <c r="CG83" i="7"/>
  <c r="DI83" i="7" s="1"/>
  <c r="CF101" i="7"/>
  <c r="CK101" i="7" s="1"/>
  <c r="DH101" i="7" s="1"/>
  <c r="CF135" i="7"/>
  <c r="CK135" i="7" s="1"/>
  <c r="DH135" i="7" s="1"/>
  <c r="CF120" i="7"/>
  <c r="CK120" i="7" s="1"/>
  <c r="DH120" i="7" s="1"/>
  <c r="CG7" i="7"/>
  <c r="CK7" i="7" s="1"/>
  <c r="CF84" i="7"/>
  <c r="CK84" i="7" s="1"/>
  <c r="DH84" i="7" s="1"/>
  <c r="CF71" i="7"/>
  <c r="CK71" i="7" s="1"/>
  <c r="DH71" i="7" s="1"/>
  <c r="CG79" i="7"/>
  <c r="DI79" i="7" s="1"/>
  <c r="CG96" i="7"/>
  <c r="DI96" i="7" s="1"/>
  <c r="CF62" i="7"/>
  <c r="CK62" i="7" s="1"/>
  <c r="DH62" i="7" s="1"/>
  <c r="CF108" i="7"/>
  <c r="CK108" i="7" s="1"/>
  <c r="DH108" i="7" s="1"/>
  <c r="CF182" i="7"/>
  <c r="CK182" i="7" s="1"/>
  <c r="DH182" i="7" s="1"/>
  <c r="CF131" i="7"/>
  <c r="CK131" i="7" s="1"/>
  <c r="DH131" i="7" s="1"/>
  <c r="CF154" i="7"/>
  <c r="CK154" i="7" s="1"/>
  <c r="DH154" i="7" s="1"/>
  <c r="CG8" i="7"/>
  <c r="CK8" i="7" s="1"/>
  <c r="CF115" i="7"/>
  <c r="CK115" i="7" s="1"/>
  <c r="DH115" i="7" s="1"/>
  <c r="CF160" i="7"/>
  <c r="CK160" i="7" s="1"/>
  <c r="DH160" i="7" s="1"/>
  <c r="CG14" i="7"/>
  <c r="CK14" i="7" s="1"/>
  <c r="CG19" i="7"/>
  <c r="CK19" i="7" s="1"/>
  <c r="CF148" i="7"/>
  <c r="CK148" i="7" s="1"/>
  <c r="DH148" i="7" s="1"/>
  <c r="CG65" i="7"/>
  <c r="DI65" i="7" s="1"/>
  <c r="CF122" i="7"/>
  <c r="CK122" i="7" s="1"/>
  <c r="DH122" i="7" s="1"/>
  <c r="CF159" i="7"/>
  <c r="CK159" i="7" s="1"/>
  <c r="DH159" i="7" s="1"/>
  <c r="CF94" i="7"/>
  <c r="CK94" i="7" s="1"/>
  <c r="DH94" i="7" s="1"/>
  <c r="CF116" i="7"/>
  <c r="CK116" i="7" s="1"/>
  <c r="DH116" i="7" s="1"/>
  <c r="CF144" i="7"/>
  <c r="CK144" i="7" s="1"/>
  <c r="DH144" i="7" s="1"/>
  <c r="CG38" i="7"/>
  <c r="CK38" i="7" s="1"/>
  <c r="CF198" i="7"/>
  <c r="CK198" i="7" s="1"/>
  <c r="DH198" i="7" s="1"/>
  <c r="CF91" i="7"/>
  <c r="CK91" i="7" s="1"/>
  <c r="DH91" i="7" s="1"/>
  <c r="CF194" i="7"/>
  <c r="CK194" i="7" s="1"/>
  <c r="DH194" i="7" s="1"/>
  <c r="CG17" i="7"/>
  <c r="CK17" i="7" s="1"/>
  <c r="CF78" i="7"/>
  <c r="CK78" i="7" s="1"/>
  <c r="DH78" i="7" s="1"/>
  <c r="CF99" i="7"/>
  <c r="CK99" i="7" s="1"/>
  <c r="DH99" i="7" s="1"/>
  <c r="CG52" i="7"/>
  <c r="CK52" i="7" s="1"/>
  <c r="CG20" i="7"/>
  <c r="CK20" i="7" s="1"/>
  <c r="CF146" i="7"/>
  <c r="CK146" i="7" s="1"/>
  <c r="DH146" i="7" s="1"/>
  <c r="CF158" i="7"/>
  <c r="CK158" i="7" s="1"/>
  <c r="DH158" i="7" s="1"/>
  <c r="CF133" i="7"/>
  <c r="CK133" i="7" s="1"/>
  <c r="DH133" i="7" s="1"/>
  <c r="CF195" i="7"/>
  <c r="CK195" i="7" s="1"/>
  <c r="DH195" i="7" s="1"/>
  <c r="CF134" i="7"/>
  <c r="CK134" i="7" s="1"/>
  <c r="DH134" i="7" s="1"/>
  <c r="CF95" i="7"/>
  <c r="CK95" i="7" s="1"/>
  <c r="DH95" i="7" s="1"/>
  <c r="CG18" i="7"/>
  <c r="CK18" i="7" s="1"/>
  <c r="CG12" i="7"/>
  <c r="CK12" i="7" s="1"/>
  <c r="CF121" i="7"/>
  <c r="CK121" i="7" s="1"/>
  <c r="DH121" i="7" s="1"/>
  <c r="CF85" i="7"/>
  <c r="CK85" i="7" s="1"/>
  <c r="DH85" i="7" s="1"/>
  <c r="CF187" i="7"/>
  <c r="CK187" i="7" s="1"/>
  <c r="DH187" i="7" s="1"/>
  <c r="CF83" i="7"/>
  <c r="CK83" i="7" s="1"/>
  <c r="DH83" i="7" s="1"/>
  <c r="CG31" i="7"/>
  <c r="CK31" i="7" s="1"/>
  <c r="CG21" i="7"/>
  <c r="CK21" i="7" s="1"/>
  <c r="CF130" i="7"/>
  <c r="CK130" i="7" s="1"/>
  <c r="DH130" i="7" s="1"/>
  <c r="CF88" i="7"/>
  <c r="CK88" i="7" s="1"/>
  <c r="DH88" i="7" s="1"/>
  <c r="CF165" i="7"/>
  <c r="CK165" i="7" s="1"/>
  <c r="DH165" i="7" s="1"/>
  <c r="CG28" i="7"/>
  <c r="CK28" i="7" s="1"/>
  <c r="CF97" i="7"/>
  <c r="CK97" i="7" s="1"/>
  <c r="DH97" i="7" s="1"/>
  <c r="CF87" i="7"/>
  <c r="CK87" i="7" s="1"/>
  <c r="DH87" i="7" s="1"/>
  <c r="CF67" i="7"/>
  <c r="CK67" i="7" s="1"/>
  <c r="DH67" i="7" s="1"/>
  <c r="CG15" i="7"/>
  <c r="CK15" i="7" s="1"/>
  <c r="CF191" i="7"/>
  <c r="CK191" i="7" s="1"/>
  <c r="DH191" i="7" s="1"/>
  <c r="CG42" i="7"/>
  <c r="CK42" i="7" s="1"/>
  <c r="CF200" i="7"/>
  <c r="CK200" i="7" s="1"/>
  <c r="DH200" i="7" s="1"/>
  <c r="CG94" i="7"/>
  <c r="DI94" i="7" s="1"/>
  <c r="CG100" i="7"/>
  <c r="DI100" i="7" s="1"/>
  <c r="CG68" i="7"/>
  <c r="DI68" i="7" s="1"/>
  <c r="CG64" i="7"/>
  <c r="DI64" i="7" s="1"/>
  <c r="CF171" i="7"/>
  <c r="CK171" i="7" s="1"/>
  <c r="DH171" i="7" s="1"/>
  <c r="CF60" i="7"/>
  <c r="CK60" i="7" s="1"/>
  <c r="DH60" i="7" s="1"/>
  <c r="CF63" i="7"/>
  <c r="CK63" i="7" s="1"/>
  <c r="DH63" i="7" s="1"/>
  <c r="CG13" i="7"/>
  <c r="CK13" i="7" s="1"/>
  <c r="CF117" i="7"/>
  <c r="CK117" i="7" s="1"/>
  <c r="DH117" i="7" s="1"/>
  <c r="CF128" i="7"/>
  <c r="CK128" i="7" s="1"/>
  <c r="DH128" i="7" s="1"/>
  <c r="CF201" i="7"/>
  <c r="CK201" i="7" s="1"/>
  <c r="DH201" i="7" s="1"/>
  <c r="CG48" i="7"/>
  <c r="CK48" i="7" s="1"/>
  <c r="CF90" i="7"/>
  <c r="CK90" i="7" s="1"/>
  <c r="DH90" i="7" s="1"/>
  <c r="CG46" i="7"/>
  <c r="CK46" i="7" s="1"/>
  <c r="CF199" i="7"/>
  <c r="CK199" i="7" s="1"/>
  <c r="DH199" i="7" s="1"/>
  <c r="CF155" i="7"/>
  <c r="CK155" i="7" s="1"/>
  <c r="DH155" i="7" s="1"/>
  <c r="CG45" i="7"/>
  <c r="CK45" i="7" s="1"/>
  <c r="CG24" i="7"/>
  <c r="CK24" i="7" s="1"/>
  <c r="CF98" i="7"/>
  <c r="CK98" i="7" s="1"/>
  <c r="DH98" i="7" s="1"/>
  <c r="CF172" i="7"/>
  <c r="CK172" i="7" s="1"/>
  <c r="DH172" i="7" s="1"/>
  <c r="CF68" i="7"/>
  <c r="CK68" i="7" s="1"/>
  <c r="DH68" i="7" s="1"/>
  <c r="CG50" i="7"/>
  <c r="CK50" i="7" s="1"/>
  <c r="CF109" i="7"/>
  <c r="CK109" i="7" s="1"/>
  <c r="DH109" i="7" s="1"/>
  <c r="CF139" i="7"/>
  <c r="CK139" i="7" s="1"/>
  <c r="DH139" i="7" s="1"/>
  <c r="CF178" i="7"/>
  <c r="CK178" i="7" s="1"/>
  <c r="DH178" i="7" s="1"/>
  <c r="CG27" i="7"/>
  <c r="CK27" i="7" s="1"/>
  <c r="CG37" i="7"/>
  <c r="CK37" i="7" s="1"/>
  <c r="CG49" i="7"/>
  <c r="CK49" i="7" s="1"/>
  <c r="CF57" i="7"/>
  <c r="CK57" i="7" s="1"/>
  <c r="DH57" i="7" s="1"/>
  <c r="CG5" i="7"/>
  <c r="CK5" i="7" s="1"/>
  <c r="CF89" i="7"/>
  <c r="CK89" i="7" s="1"/>
  <c r="DH89" i="7" s="1"/>
  <c r="CF65" i="7"/>
  <c r="CK65" i="7" s="1"/>
  <c r="DH65" i="7" s="1"/>
  <c r="CG39" i="7"/>
  <c r="CK39" i="7" s="1"/>
  <c r="CF119" i="7"/>
  <c r="CK119" i="7" s="1"/>
  <c r="DH119" i="7" s="1"/>
  <c r="CF176" i="7"/>
  <c r="CK176" i="7" s="1"/>
  <c r="DH176" i="7" s="1"/>
  <c r="CF80" i="7"/>
  <c r="CK80" i="7" s="1"/>
  <c r="DH80" i="7" s="1"/>
  <c r="CF173" i="7"/>
  <c r="CK173" i="7" s="1"/>
  <c r="DH173" i="7" s="1"/>
  <c r="CF82" i="7"/>
  <c r="CK82" i="7" s="1"/>
  <c r="DH82" i="7" s="1"/>
  <c r="CF175" i="7"/>
  <c r="CK175" i="7" s="1"/>
  <c r="DH175" i="7" s="1"/>
  <c r="CF138" i="7"/>
  <c r="CK138" i="7" s="1"/>
  <c r="DH138" i="7" s="1"/>
  <c r="CF196" i="7"/>
  <c r="CK196" i="7" s="1"/>
  <c r="DH196" i="7" s="1"/>
  <c r="CF150" i="7"/>
  <c r="CK150" i="7" s="1"/>
  <c r="DH150" i="7" s="1"/>
  <c r="CG53" i="7"/>
  <c r="CK53" i="7" s="1"/>
  <c r="CF105" i="7"/>
  <c r="CK105" i="7" s="1"/>
  <c r="DH105" i="7" s="1"/>
  <c r="CG10" i="7"/>
  <c r="CK10" i="7" s="1"/>
  <c r="CF170" i="7"/>
  <c r="CK170" i="7" s="1"/>
  <c r="DH170" i="7" s="1"/>
  <c r="CG85" i="7"/>
  <c r="DI85" i="7" s="1"/>
  <c r="CG103" i="7"/>
  <c r="DI103" i="7" s="1"/>
  <c r="CG57" i="7"/>
  <c r="DI57" i="7" s="1"/>
  <c r="CF124" i="7"/>
  <c r="CK124" i="7" s="1"/>
  <c r="DH124" i="7" s="1"/>
  <c r="CF181" i="7"/>
  <c r="CK181" i="7" s="1"/>
  <c r="DH181" i="7" s="1"/>
  <c r="CF161" i="7"/>
  <c r="CK161" i="7" s="1"/>
  <c r="DH161" i="7" s="1"/>
  <c r="CF126" i="7"/>
  <c r="CK126" i="7" s="1"/>
  <c r="DH126" i="7" s="1"/>
  <c r="CF114" i="7"/>
  <c r="CK114" i="7" s="1"/>
  <c r="DH114" i="7" s="1"/>
  <c r="CF129" i="7"/>
  <c r="CK129" i="7" s="1"/>
  <c r="DH129" i="7" s="1"/>
  <c r="CF103" i="7"/>
  <c r="CK103" i="7" s="1"/>
  <c r="DH103" i="7" s="1"/>
  <c r="CF110" i="7"/>
  <c r="CK110" i="7" s="1"/>
  <c r="DH110" i="7" s="1"/>
  <c r="CF127" i="7"/>
  <c r="CK127" i="7" s="1"/>
  <c r="DH127" i="7" s="1"/>
  <c r="CF137" i="7"/>
  <c r="CK137" i="7" s="1"/>
  <c r="DH137" i="7" s="1"/>
  <c r="CF143" i="7"/>
  <c r="CK143" i="7" s="1"/>
  <c r="DH143" i="7" s="1"/>
  <c r="CF92" i="7"/>
  <c r="CK92" i="7" s="1"/>
  <c r="DH92" i="7" s="1"/>
  <c r="CF79" i="7"/>
  <c r="CK79" i="7" s="1"/>
  <c r="DH79" i="7" s="1"/>
  <c r="CG40" i="7"/>
  <c r="CK40" i="7" s="1"/>
  <c r="CG9" i="7"/>
  <c r="CK9" i="7" s="1"/>
  <c r="CF76" i="7"/>
  <c r="CK76" i="7" s="1"/>
  <c r="DH76" i="7" s="1"/>
  <c r="CF106" i="7"/>
  <c r="CK106" i="7" s="1"/>
  <c r="DH106" i="7" s="1"/>
  <c r="CF64" i="7"/>
  <c r="CK64" i="7" s="1"/>
  <c r="DH64" i="7" s="1"/>
  <c r="CF77" i="7"/>
  <c r="CK77" i="7" s="1"/>
  <c r="DH77" i="7" s="1"/>
  <c r="CF136" i="7"/>
  <c r="CK136" i="7" s="1"/>
  <c r="DH136" i="7" s="1"/>
  <c r="CF179" i="7"/>
  <c r="CK179" i="7" s="1"/>
  <c r="DH179" i="7" s="1"/>
  <c r="CG33" i="7"/>
  <c r="CK33" i="7" s="1"/>
  <c r="CG23" i="7"/>
  <c r="CK23" i="7" s="1"/>
  <c r="CG25" i="7"/>
  <c r="CK25" i="7" s="1"/>
  <c r="CF164" i="7"/>
  <c r="CK164" i="7" s="1"/>
  <c r="DH164" i="7" s="1"/>
  <c r="CF75" i="7"/>
  <c r="CK75" i="7" s="1"/>
  <c r="DH75" i="7" s="1"/>
  <c r="CF189" i="7"/>
  <c r="CK189" i="7" s="1"/>
  <c r="DH189" i="7" s="1"/>
  <c r="CF149" i="7"/>
  <c r="CK149" i="7" s="1"/>
  <c r="DH149" i="7" s="1"/>
  <c r="CF107" i="7"/>
  <c r="CK107" i="7" s="1"/>
  <c r="DH107" i="7" s="1"/>
  <c r="CF59" i="7"/>
  <c r="CK59" i="7" s="1"/>
  <c r="DH59" i="7" s="1"/>
  <c r="CF204" i="7"/>
  <c r="CK204" i="7" s="1"/>
  <c r="DH204" i="7" s="1"/>
  <c r="CF193" i="7"/>
  <c r="CK193" i="7" s="1"/>
  <c r="DH193" i="7" s="1"/>
  <c r="CF163" i="7"/>
  <c r="CK163" i="7" s="1"/>
  <c r="DH163" i="7" s="1"/>
  <c r="CF93" i="7"/>
  <c r="CK93" i="7" s="1"/>
  <c r="DH93" i="7" s="1"/>
  <c r="CG22" i="7"/>
  <c r="CK22" i="7" s="1"/>
  <c r="CF166" i="7"/>
  <c r="CK166" i="7" s="1"/>
  <c r="DH166" i="7" s="1"/>
  <c r="CF188" i="7"/>
  <c r="CK188" i="7" s="1"/>
  <c r="DH188" i="7" s="1"/>
  <c r="CF96" i="7"/>
  <c r="CK96" i="7" s="1"/>
  <c r="DH96" i="7" s="1"/>
  <c r="CF141" i="7"/>
  <c r="CK141" i="7" s="1"/>
  <c r="DH141" i="7" s="1"/>
  <c r="CG16" i="7"/>
  <c r="CK16" i="7" s="1"/>
  <c r="CF123" i="7"/>
  <c r="CK123" i="7" s="1"/>
  <c r="DH123" i="7" s="1"/>
  <c r="CF177" i="7"/>
  <c r="CK177" i="7" s="1"/>
  <c r="DH177" i="7" s="1"/>
  <c r="CF111" i="7"/>
  <c r="CK111" i="7" s="1"/>
  <c r="DH111" i="7" s="1"/>
  <c r="CF183" i="7"/>
  <c r="CK183" i="7" s="1"/>
  <c r="DH183" i="7" s="1"/>
  <c r="CF192" i="7"/>
  <c r="CK192" i="7" s="1"/>
  <c r="DH192" i="7" s="1"/>
  <c r="CF205" i="7"/>
  <c r="CK205" i="7" s="1"/>
  <c r="DH205" i="7" s="1"/>
  <c r="CF174" i="7"/>
  <c r="CK174" i="7" s="1"/>
  <c r="DH174" i="7" s="1"/>
  <c r="CF206" i="7"/>
  <c r="CK206" i="7" s="1"/>
  <c r="DH206" i="7" s="1"/>
  <c r="CF102" i="7"/>
  <c r="CK102" i="7" s="1"/>
  <c r="DH102" i="7" s="1"/>
  <c r="CF203" i="7"/>
  <c r="CK203" i="7" s="1"/>
  <c r="DH203" i="7" s="1"/>
  <c r="CF153" i="7"/>
  <c r="CK153" i="7" s="1"/>
  <c r="DH153" i="7" s="1"/>
  <c r="CF81" i="7"/>
  <c r="CK81" i="7" s="1"/>
  <c r="DH81" i="7" s="1"/>
  <c r="CG32" i="7"/>
  <c r="CK32" i="7" s="1"/>
  <c r="CF202" i="7"/>
  <c r="CK202" i="7" s="1"/>
  <c r="DH202" i="7" s="1"/>
  <c r="CF61" i="7"/>
  <c r="CK61" i="7" s="1"/>
  <c r="DH61" i="7" s="1"/>
  <c r="CF66" i="7"/>
  <c r="CK66" i="7" s="1"/>
  <c r="DH66" i="7" s="1"/>
  <c r="CG6" i="7"/>
  <c r="CK6" i="7" s="1"/>
  <c r="CF167" i="7"/>
  <c r="CK167" i="7" s="1"/>
  <c r="DH167" i="7" s="1"/>
  <c r="CF74" i="7"/>
  <c r="CK74" i="7" s="1"/>
  <c r="DH74" i="7" s="1"/>
  <c r="CF184" i="7"/>
  <c r="CK184" i="7" s="1"/>
  <c r="DH184" i="7" s="1"/>
  <c r="CF197" i="7"/>
  <c r="CK197" i="7" s="1"/>
  <c r="DH197" i="7" s="1"/>
  <c r="CF145" i="7"/>
  <c r="CK145" i="7" s="1"/>
  <c r="DH145" i="7" s="1"/>
  <c r="CF162" i="7"/>
  <c r="CK162" i="7" s="1"/>
  <c r="DH162" i="7" s="1"/>
  <c r="CG51" i="7"/>
  <c r="CK51" i="7" s="1"/>
  <c r="CG34" i="7"/>
  <c r="CK34" i="7" s="1"/>
  <c r="CG47" i="7"/>
  <c r="CK47" i="7" s="1"/>
  <c r="CG36" i="7"/>
  <c r="CK36" i="7" s="1"/>
  <c r="CG43" i="7"/>
  <c r="CK43" i="7" s="1"/>
  <c r="CF151" i="7"/>
  <c r="CK151" i="7" s="1"/>
  <c r="DH151" i="7" s="1"/>
  <c r="CF147" i="7"/>
  <c r="CK147" i="7" s="1"/>
  <c r="DH147" i="7" s="1"/>
  <c r="CG11" i="7"/>
  <c r="CK11" i="7" s="1"/>
  <c r="CG44" i="7"/>
  <c r="CK44" i="7" s="1"/>
  <c r="CG35" i="7"/>
  <c r="CK35" i="7" s="1"/>
  <c r="CF72" i="7"/>
  <c r="CK72" i="7" s="1"/>
  <c r="DH72" i="7" s="1"/>
  <c r="CF185" i="7"/>
  <c r="CK185" i="7" s="1"/>
  <c r="DH185" i="7" s="1"/>
  <c r="CF156" i="7"/>
  <c r="CK156" i="7" s="1"/>
  <c r="DH156" i="7" s="1"/>
  <c r="CF180" i="7"/>
  <c r="CK180" i="7" s="1"/>
  <c r="DH180" i="7" s="1"/>
  <c r="CF168" i="7"/>
  <c r="CK168" i="7" s="1"/>
  <c r="DH168" i="7" s="1"/>
  <c r="CF125" i="7"/>
  <c r="CK125" i="7" s="1"/>
  <c r="DH125" i="7" s="1"/>
  <c r="CF58" i="7"/>
  <c r="CK58" i="7" s="1"/>
  <c r="DH58" i="7" s="1"/>
  <c r="CG41" i="7"/>
  <c r="CK41" i="7" s="1"/>
  <c r="CF152" i="7"/>
  <c r="CK152" i="7" s="1"/>
  <c r="DH152" i="7" s="1"/>
  <c r="CF142" i="7"/>
  <c r="CK142" i="7" s="1"/>
  <c r="DH142" i="7" s="1"/>
  <c r="CF112" i="7"/>
  <c r="CK112" i="7" s="1"/>
  <c r="DH112" i="7" s="1"/>
  <c r="CF186" i="7"/>
  <c r="CK186" i="7" s="1"/>
  <c r="DH186" i="7" s="1"/>
  <c r="CF113" i="7"/>
  <c r="CK113" i="7" s="1"/>
  <c r="DH113" i="7" s="1"/>
  <c r="CF190" i="7"/>
  <c r="CK190" i="7" s="1"/>
  <c r="DH190" i="7" s="1"/>
  <c r="CG30" i="7"/>
  <c r="CK30" i="7" s="1"/>
  <c r="CF86" i="7"/>
  <c r="CK86" i="7" s="1"/>
  <c r="DH86" i="7" s="1"/>
  <c r="CF69" i="7"/>
  <c r="CK69" i="7" s="1"/>
  <c r="DH69" i="7" s="1"/>
  <c r="CF118" i="7"/>
  <c r="CK118" i="7" s="1"/>
  <c r="DH118" i="7" s="1"/>
  <c r="CG26" i="7"/>
  <c r="CK26" i="7" s="1"/>
  <c r="CG29" i="7"/>
  <c r="CK29" i="7" s="1"/>
  <c r="CN46" i="7"/>
  <c r="CG63" i="7"/>
  <c r="DI63" i="7" s="1"/>
  <c r="CG75" i="7"/>
  <c r="DI75" i="7" s="1"/>
  <c r="CG86" i="7"/>
  <c r="DI86" i="7" s="1"/>
  <c r="CG106" i="7"/>
  <c r="DI106" i="7" s="1"/>
  <c r="CG81" i="7"/>
  <c r="DI81" i="7" s="1"/>
  <c r="CG60" i="7"/>
  <c r="DI60" i="7" s="1"/>
  <c r="CG90" i="7"/>
  <c r="DI90" i="7" s="1"/>
  <c r="CG70" i="7"/>
  <c r="DI70" i="7" s="1"/>
  <c r="CG89" i="7"/>
  <c r="DI89" i="7" s="1"/>
  <c r="CG82" i="7"/>
  <c r="DI82" i="7" s="1"/>
  <c r="CG77" i="7"/>
  <c r="DI77" i="7" s="1"/>
  <c r="CG105" i="7"/>
  <c r="DI105" i="7" s="1"/>
  <c r="CG67" i="7"/>
  <c r="DI67" i="7" s="1"/>
  <c r="CG99" i="7"/>
  <c r="DI99" i="7" s="1"/>
  <c r="CG92" i="7"/>
  <c r="DI92" i="7" s="1"/>
  <c r="CG91" i="7"/>
  <c r="DI91" i="7" s="1"/>
  <c r="CG87" i="7"/>
  <c r="DI87" i="7" s="1"/>
  <c r="CG74" i="7"/>
  <c r="DI74" i="7" s="1"/>
  <c r="CG78" i="7"/>
  <c r="DI78" i="7" s="1"/>
  <c r="CG98" i="7"/>
  <c r="DI98" i="7" s="1"/>
  <c r="CG69" i="7"/>
  <c r="DI69" i="7" s="1"/>
  <c r="CG66" i="7"/>
  <c r="DI66" i="7" s="1"/>
  <c r="CM7" i="7"/>
  <c r="CG59" i="7"/>
  <c r="DI59" i="7" s="1"/>
  <c r="CG84" i="7"/>
  <c r="DI84" i="7" s="1"/>
  <c r="CG88" i="7"/>
  <c r="DI88" i="7" s="1"/>
  <c r="CG101" i="7"/>
  <c r="DI101" i="7" s="1"/>
  <c r="CE125" i="7"/>
  <c r="CJ125" i="7" s="1"/>
  <c r="DG125" i="7" s="1"/>
  <c r="CE142" i="7"/>
  <c r="CJ142" i="7" s="1"/>
  <c r="DG142" i="7" s="1"/>
  <c r="CE206" i="7"/>
  <c r="CJ206" i="7" s="1"/>
  <c r="DG206" i="7" s="1"/>
  <c r="CE84" i="7"/>
  <c r="CJ84" i="7" s="1"/>
  <c r="DG84" i="7" s="1"/>
  <c r="CE80" i="7"/>
  <c r="CJ80" i="7" s="1"/>
  <c r="DG80" i="7" s="1"/>
  <c r="CE124" i="7"/>
  <c r="CJ124" i="7" s="1"/>
  <c r="DG124" i="7" s="1"/>
  <c r="CE161" i="7"/>
  <c r="CJ161" i="7" s="1"/>
  <c r="DG161" i="7" s="1"/>
  <c r="CE188" i="7"/>
  <c r="CJ188" i="7" s="1"/>
  <c r="DG188" i="7" s="1"/>
  <c r="CE168" i="7"/>
  <c r="CJ168" i="7" s="1"/>
  <c r="DG168" i="7" s="1"/>
  <c r="CE57" i="7"/>
  <c r="CJ57" i="7" s="1"/>
  <c r="DG57" i="7" s="1"/>
  <c r="CE134" i="7"/>
  <c r="CJ134" i="7" s="1"/>
  <c r="DG134" i="7" s="1"/>
  <c r="CE162" i="7"/>
  <c r="CJ162" i="7" s="1"/>
  <c r="DG162" i="7" s="1"/>
  <c r="CF52" i="7"/>
  <c r="CJ52" i="7" s="1"/>
  <c r="CE157" i="7"/>
  <c r="CJ157" i="7" s="1"/>
  <c r="DG157" i="7" s="1"/>
  <c r="CE104" i="7"/>
  <c r="CJ104" i="7" s="1"/>
  <c r="DG104" i="7" s="1"/>
  <c r="CE185" i="7"/>
  <c r="CJ185" i="7" s="1"/>
  <c r="DG185" i="7" s="1"/>
  <c r="CE65" i="7"/>
  <c r="CJ65" i="7" s="1"/>
  <c r="DG65" i="7" s="1"/>
  <c r="CE74" i="7"/>
  <c r="CJ74" i="7" s="1"/>
  <c r="DG74" i="7" s="1"/>
  <c r="CF14" i="7"/>
  <c r="CJ14" i="7" s="1"/>
  <c r="CQ14" i="7" s="1"/>
  <c r="CE58" i="7"/>
  <c r="CJ58" i="7" s="1"/>
  <c r="DG58" i="7" s="1"/>
  <c r="CE91" i="7"/>
  <c r="CJ91" i="7" s="1"/>
  <c r="DG91" i="7" s="1"/>
  <c r="CE111" i="7"/>
  <c r="CJ111" i="7" s="1"/>
  <c r="DG111" i="7" s="1"/>
  <c r="CF42" i="7"/>
  <c r="CJ42" i="7" s="1"/>
  <c r="CE98" i="7"/>
  <c r="CJ98" i="7" s="1"/>
  <c r="DG98" i="7" s="1"/>
  <c r="CE195" i="7"/>
  <c r="CJ195" i="7" s="1"/>
  <c r="DG195" i="7" s="1"/>
  <c r="CE167" i="7"/>
  <c r="CJ167" i="7" s="1"/>
  <c r="DG167" i="7" s="1"/>
  <c r="CE163" i="7"/>
  <c r="CJ163" i="7" s="1"/>
  <c r="DG163" i="7" s="1"/>
  <c r="CE148" i="7"/>
  <c r="CJ148" i="7" s="1"/>
  <c r="DG148" i="7" s="1"/>
  <c r="CE89" i="7"/>
  <c r="CJ89" i="7" s="1"/>
  <c r="DG89" i="7" s="1"/>
  <c r="CE71" i="7"/>
  <c r="CJ71" i="7" s="1"/>
  <c r="DG71" i="7" s="1"/>
  <c r="CF48" i="7"/>
  <c r="CJ48" i="7" s="1"/>
  <c r="CQ48" i="7" s="1"/>
  <c r="CE159" i="7"/>
  <c r="CJ159" i="7" s="1"/>
  <c r="DG159" i="7" s="1"/>
  <c r="CE174" i="7"/>
  <c r="CJ174" i="7" s="1"/>
  <c r="DG174" i="7" s="1"/>
  <c r="CF21" i="7"/>
  <c r="CJ21" i="7" s="1"/>
  <c r="CO21" i="7" s="1"/>
  <c r="CP21" i="7" s="1"/>
  <c r="CE145" i="7"/>
  <c r="CJ145" i="7" s="1"/>
  <c r="DG145" i="7" s="1"/>
  <c r="CE165" i="7"/>
  <c r="CJ165" i="7" s="1"/>
  <c r="DG165" i="7" s="1"/>
  <c r="CF7" i="7"/>
  <c r="CJ7" i="7" s="1"/>
  <c r="CE93" i="7"/>
  <c r="CJ93" i="7" s="1"/>
  <c r="DG93" i="7" s="1"/>
  <c r="CF47" i="7"/>
  <c r="CJ47" i="7" s="1"/>
  <c r="CE110" i="7"/>
  <c r="CJ110" i="7" s="1"/>
  <c r="DG110" i="7" s="1"/>
  <c r="CE97" i="7"/>
  <c r="CJ97" i="7" s="1"/>
  <c r="DG97" i="7" s="1"/>
  <c r="CF11" i="7"/>
  <c r="CJ11" i="7" s="1"/>
  <c r="CQ11" i="7" s="1"/>
  <c r="CF32" i="7"/>
  <c r="CJ32" i="7" s="1"/>
  <c r="CO32" i="7" s="1"/>
  <c r="CP32" i="7" s="1"/>
  <c r="CE75" i="7"/>
  <c r="CJ75" i="7" s="1"/>
  <c r="DG75" i="7" s="1"/>
  <c r="CE132" i="7"/>
  <c r="CJ132" i="7" s="1"/>
  <c r="DG132" i="7" s="1"/>
  <c r="CF28" i="7"/>
  <c r="CJ28" i="7" s="1"/>
  <c r="CO28" i="7" s="1"/>
  <c r="CP28" i="7" s="1"/>
  <c r="CE119" i="7"/>
  <c r="CJ119" i="7" s="1"/>
  <c r="DG119" i="7" s="1"/>
  <c r="CE143" i="7"/>
  <c r="CJ143" i="7" s="1"/>
  <c r="DG143" i="7" s="1"/>
  <c r="CE67" i="7"/>
  <c r="CJ67" i="7" s="1"/>
  <c r="DG67" i="7" s="1"/>
  <c r="CE151" i="7"/>
  <c r="CJ151" i="7" s="1"/>
  <c r="DG151" i="7" s="1"/>
  <c r="CE92" i="7"/>
  <c r="CJ92" i="7" s="1"/>
  <c r="DG92" i="7" s="1"/>
  <c r="CE205" i="7"/>
  <c r="CJ205" i="7" s="1"/>
  <c r="DG205" i="7" s="1"/>
  <c r="CE102" i="7"/>
  <c r="CJ102" i="7" s="1"/>
  <c r="DG102" i="7" s="1"/>
  <c r="CF35" i="7"/>
  <c r="CJ35" i="7" s="1"/>
  <c r="CE130" i="7"/>
  <c r="CJ130" i="7" s="1"/>
  <c r="DG130" i="7" s="1"/>
  <c r="CE192" i="7"/>
  <c r="CJ192" i="7" s="1"/>
  <c r="DG192" i="7" s="1"/>
  <c r="CE106" i="7"/>
  <c r="CJ106" i="7" s="1"/>
  <c r="DG106" i="7" s="1"/>
  <c r="CE103" i="7"/>
  <c r="CJ103" i="7" s="1"/>
  <c r="DG103" i="7" s="1"/>
  <c r="CE190" i="7"/>
  <c r="CJ190" i="7" s="1"/>
  <c r="DG190" i="7" s="1"/>
  <c r="CE61" i="7"/>
  <c r="CJ61" i="7" s="1"/>
  <c r="DG61" i="7" s="1"/>
  <c r="CE79" i="7"/>
  <c r="CJ79" i="7" s="1"/>
  <c r="DG79" i="7" s="1"/>
  <c r="CF25" i="7"/>
  <c r="CJ25" i="7" s="1"/>
  <c r="CO25" i="7" s="1"/>
  <c r="CP25" i="7" s="1"/>
  <c r="CE109" i="7"/>
  <c r="CJ109" i="7" s="1"/>
  <c r="DG109" i="7" s="1"/>
  <c r="CF50" i="7"/>
  <c r="CJ50" i="7" s="1"/>
  <c r="CQ50" i="7" s="1"/>
  <c r="CE179" i="7"/>
  <c r="CJ179" i="7" s="1"/>
  <c r="DG179" i="7" s="1"/>
  <c r="CF18" i="7"/>
  <c r="CJ18" i="7" s="1"/>
  <c r="CO18" i="7" s="1"/>
  <c r="CP18" i="7" s="1"/>
  <c r="CE183" i="7"/>
  <c r="CJ183" i="7" s="1"/>
  <c r="DG183" i="7" s="1"/>
  <c r="CF53" i="7"/>
  <c r="CJ53" i="7" s="1"/>
  <c r="CQ53" i="7" s="1"/>
  <c r="CF41" i="7"/>
  <c r="CJ41" i="7" s="1"/>
  <c r="CQ41" i="7" s="1"/>
  <c r="CE150" i="7"/>
  <c r="CJ150" i="7" s="1"/>
  <c r="DG150" i="7" s="1"/>
  <c r="CE152" i="7"/>
  <c r="CJ152" i="7" s="1"/>
  <c r="DG152" i="7" s="1"/>
  <c r="CE94" i="7"/>
  <c r="CJ94" i="7" s="1"/>
  <c r="DG94" i="7" s="1"/>
  <c r="CE147" i="7"/>
  <c r="CJ147" i="7" s="1"/>
  <c r="DG147" i="7" s="1"/>
  <c r="CF33" i="7"/>
  <c r="CJ33" i="7" s="1"/>
  <c r="CQ33" i="7" s="1"/>
  <c r="CF51" i="7"/>
  <c r="CJ51" i="7" s="1"/>
  <c r="CO51" i="7" s="1"/>
  <c r="CP51" i="7" s="1"/>
  <c r="CF46" i="7"/>
  <c r="CJ46" i="7" s="1"/>
  <c r="CO46" i="7" s="1"/>
  <c r="CE172" i="7"/>
  <c r="CJ172" i="7" s="1"/>
  <c r="DG172" i="7" s="1"/>
  <c r="CE149" i="7"/>
  <c r="CJ149" i="7" s="1"/>
  <c r="DG149" i="7" s="1"/>
  <c r="CE96" i="7"/>
  <c r="CJ96" i="7" s="1"/>
  <c r="DG96" i="7" s="1"/>
  <c r="CE66" i="7"/>
  <c r="CJ66" i="7" s="1"/>
  <c r="DG66" i="7" s="1"/>
  <c r="CF49" i="7"/>
  <c r="CJ49" i="7" s="1"/>
  <c r="CQ49" i="7" s="1"/>
  <c r="CE135" i="7"/>
  <c r="CJ135" i="7" s="1"/>
  <c r="DG135" i="7" s="1"/>
  <c r="CG58" i="7"/>
  <c r="DI58" i="7" s="1"/>
  <c r="G2" i="7"/>
  <c r="E718" i="6" s="1"/>
  <c r="CG76" i="7"/>
  <c r="DI76" i="7" s="1"/>
  <c r="CG71" i="7"/>
  <c r="DI71" i="7" s="1"/>
  <c r="CG72" i="7"/>
  <c r="DI72" i="7" s="1"/>
  <c r="CM31" i="7"/>
  <c r="CL31" i="7"/>
  <c r="CM52" i="7"/>
  <c r="CL5" i="7"/>
  <c r="CG62" i="7"/>
  <c r="DI62" i="7" s="1"/>
  <c r="CG61" i="7"/>
  <c r="DI61" i="7" s="1"/>
  <c r="CL8" i="7"/>
  <c r="CG97" i="7"/>
  <c r="DI97" i="7" s="1"/>
  <c r="CM30" i="7"/>
  <c r="CN50" i="7"/>
  <c r="CN27" i="7"/>
  <c r="CL20" i="7"/>
  <c r="CG95" i="7"/>
  <c r="DI95" i="7" s="1"/>
  <c r="CG102" i="7"/>
  <c r="DI102" i="7" s="1"/>
  <c r="CM24" i="7"/>
  <c r="CM45" i="7"/>
  <c r="H39" i="3"/>
  <c r="CL44" i="7"/>
  <c r="CM19" i="7"/>
  <c r="CL25" i="7"/>
  <c r="CM39" i="7"/>
  <c r="CL33" i="7"/>
  <c r="CL29" i="7"/>
  <c r="H41" i="3"/>
  <c r="CO20" i="7"/>
  <c r="CP20" i="7" s="1"/>
  <c r="CQ20" i="7"/>
  <c r="D40" i="3"/>
  <c r="D42" i="3"/>
  <c r="D41" i="3"/>
  <c r="D37" i="3"/>
  <c r="D39" i="3"/>
  <c r="J22" i="3" l="1"/>
  <c r="D56" i="3" s="1"/>
  <c r="J18" i="3"/>
  <c r="CQ22" i="7"/>
  <c r="N18" i="3"/>
  <c r="N17" i="3"/>
  <c r="N30" i="3"/>
  <c r="N29" i="3"/>
  <c r="I25" i="3"/>
  <c r="Q17" i="3"/>
  <c r="O9" i="3"/>
  <c r="Q6" i="3"/>
  <c r="S13" i="3"/>
  <c r="O16" i="3"/>
  <c r="D57" i="3"/>
  <c r="R37" i="3" s="1"/>
  <c r="F21" i="3"/>
  <c r="I28" i="3"/>
  <c r="K28" i="3"/>
  <c r="F20" i="3" s="1"/>
  <c r="CQ35" i="7"/>
  <c r="CO40" i="7"/>
  <c r="CP40" i="7" s="1"/>
  <c r="CQ12" i="7"/>
  <c r="CP46" i="7"/>
  <c r="CQ47" i="7"/>
  <c r="CO42" i="7"/>
  <c r="CP42" i="7" s="1"/>
  <c r="CO7" i="7"/>
  <c r="CP7" i="7" s="1"/>
  <c r="CO4" i="7"/>
  <c r="CP4" i="7" s="1"/>
  <c r="CQ31" i="7"/>
  <c r="CQ24" i="7"/>
  <c r="CQ19" i="7"/>
  <c r="CQ30" i="7"/>
  <c r="CO52" i="7"/>
  <c r="CP52" i="7" s="1"/>
  <c r="AK162" i="3"/>
  <c r="AL158" i="3"/>
  <c r="AK163" i="3"/>
  <c r="AL181" i="3"/>
  <c r="AK186" i="3"/>
  <c r="AK185" i="3"/>
  <c r="AL135" i="3"/>
  <c r="AK139" i="3"/>
  <c r="AK140" i="3"/>
  <c r="N31" i="3"/>
  <c r="N25" i="3"/>
  <c r="N32" i="3"/>
  <c r="BK22" i="3"/>
  <c r="AK18" i="3"/>
  <c r="BM47" i="3"/>
  <c r="BC48" i="3"/>
  <c r="BK48" i="3"/>
  <c r="BE47" i="3"/>
  <c r="AZ47" i="3"/>
  <c r="BI47" i="3"/>
  <c r="CQ26" i="7"/>
  <c r="CR26" i="7" s="1"/>
  <c r="CS26" i="7" s="1"/>
  <c r="CV26" i="7" s="1"/>
  <c r="U33" i="7" s="1"/>
  <c r="AA63" i="3"/>
  <c r="AB63" i="3" s="1"/>
  <c r="CO19" i="7"/>
  <c r="CP19" i="7" s="1"/>
  <c r="CQ44" i="7"/>
  <c r="CR44" i="7" s="1"/>
  <c r="CS44" i="7" s="1"/>
  <c r="CV44" i="7" s="1"/>
  <c r="U51" i="7" s="1"/>
  <c r="BE22" i="3"/>
  <c r="AN22" i="3"/>
  <c r="BM22" i="3"/>
  <c r="CO8" i="7"/>
  <c r="CP8" i="7" s="1"/>
  <c r="CR8" i="7" s="1"/>
  <c r="CS8" i="7" s="1"/>
  <c r="CT8" i="7" s="1"/>
  <c r="CW8" i="7" s="1"/>
  <c r="T15" i="7" s="1"/>
  <c r="AZ22" i="3"/>
  <c r="BC22" i="3"/>
  <c r="AW18" i="3"/>
  <c r="AW22" i="3"/>
  <c r="AT22" i="3"/>
  <c r="AT18" i="3"/>
  <c r="AQ18" i="3"/>
  <c r="AQ22" i="3"/>
  <c r="CO5" i="7"/>
  <c r="CP5" i="7" s="1"/>
  <c r="CR5" i="7" s="1"/>
  <c r="CS5" i="7" s="1"/>
  <c r="CT5" i="7" s="1"/>
  <c r="CW5" i="7" s="1"/>
  <c r="T12" i="7" s="1"/>
  <c r="CQ15" i="7"/>
  <c r="CR15" i="7" s="1"/>
  <c r="CS15" i="7" s="1"/>
  <c r="CU15" i="7" s="1"/>
  <c r="CO30" i="7"/>
  <c r="CP30" i="7" s="1"/>
  <c r="CQ29" i="7"/>
  <c r="CR29" i="7" s="1"/>
  <c r="CS29" i="7" s="1"/>
  <c r="CQ43" i="7"/>
  <c r="CR43" i="7" s="1"/>
  <c r="CS43" i="7" s="1"/>
  <c r="CT43" i="7" s="1"/>
  <c r="CW43" i="7" s="1"/>
  <c r="T50" i="7" s="1"/>
  <c r="CO24" i="7"/>
  <c r="CP24" i="7" s="1"/>
  <c r="CQ4" i="7"/>
  <c r="CO12" i="7"/>
  <c r="CP12" i="7" s="1"/>
  <c r="CR12" i="7" s="1"/>
  <c r="CS12" i="7" s="1"/>
  <c r="CT12" i="7" s="1"/>
  <c r="CW12" i="7" s="1"/>
  <c r="T19" i="7" s="1"/>
  <c r="CQ9" i="7"/>
  <c r="CR9" i="7" s="1"/>
  <c r="CS9" i="7" s="1"/>
  <c r="CT9" i="7" s="1"/>
  <c r="CW9" i="7" s="1"/>
  <c r="T16" i="7" s="1"/>
  <c r="CQ10" i="7"/>
  <c r="CR10" i="7" s="1"/>
  <c r="CS10" i="7" s="1"/>
  <c r="CT10" i="7" s="1"/>
  <c r="CW10" i="7" s="1"/>
  <c r="T17" i="7" s="1"/>
  <c r="AE33" i="3"/>
  <c r="AE35" i="3" s="1"/>
  <c r="AE32" i="3"/>
  <c r="AE31" i="3"/>
  <c r="AE34" i="3" s="1"/>
  <c r="AE36" i="3" s="1"/>
  <c r="AS22" i="3"/>
  <c r="AS18" i="3"/>
  <c r="BM70" i="3"/>
  <c r="BM71" i="3"/>
  <c r="BE71" i="3"/>
  <c r="BE70" i="3"/>
  <c r="BG71" i="3"/>
  <c r="BG70" i="3"/>
  <c r="AM18" i="3"/>
  <c r="AM22" i="3"/>
  <c r="AZ71" i="3"/>
  <c r="AZ70" i="3"/>
  <c r="BN22" i="3"/>
  <c r="BN18" i="3"/>
  <c r="AP22" i="3"/>
  <c r="AP18" i="3"/>
  <c r="BF70" i="3"/>
  <c r="BF71" i="3"/>
  <c r="BL22" i="3"/>
  <c r="BL18" i="3"/>
  <c r="BL71" i="3"/>
  <c r="BL70" i="3"/>
  <c r="AV18" i="3"/>
  <c r="AV22" i="3"/>
  <c r="BI70" i="3"/>
  <c r="BI71" i="3"/>
  <c r="BH18" i="3"/>
  <c r="BH22" i="3"/>
  <c r="BH70" i="3"/>
  <c r="BH71" i="3"/>
  <c r="AO18" i="3"/>
  <c r="AO22" i="3"/>
  <c r="BB71" i="3"/>
  <c r="BB70" i="3"/>
  <c r="BA70" i="3"/>
  <c r="BA71" i="3"/>
  <c r="AG18" i="3"/>
  <c r="AG22" i="3"/>
  <c r="BK71" i="3"/>
  <c r="BK70" i="3"/>
  <c r="BA22" i="3"/>
  <c r="BA18" i="3"/>
  <c r="AJ18" i="3"/>
  <c r="AJ22" i="3"/>
  <c r="BC70" i="3"/>
  <c r="BC71" i="3"/>
  <c r="BG18" i="3"/>
  <c r="BG22" i="3"/>
  <c r="AI18" i="3"/>
  <c r="AI22" i="3"/>
  <c r="BD70" i="3"/>
  <c r="BD71" i="3"/>
  <c r="BB18" i="3"/>
  <c r="BB22" i="3"/>
  <c r="BN70" i="3"/>
  <c r="BN71" i="3"/>
  <c r="AU18" i="3"/>
  <c r="AU22" i="3"/>
  <c r="CQ34" i="7"/>
  <c r="CR34" i="7" s="1"/>
  <c r="CS34" i="7" s="1"/>
  <c r="CT34" i="7" s="1"/>
  <c r="CW34" i="7" s="1"/>
  <c r="T41" i="7" s="1"/>
  <c r="CQ45" i="7"/>
  <c r="CQ36" i="7"/>
  <c r="CR36" i="7" s="1"/>
  <c r="CS36" i="7" s="1"/>
  <c r="CO33" i="7"/>
  <c r="CP33" i="7" s="1"/>
  <c r="CR33" i="7" s="1"/>
  <c r="CS33" i="7" s="1"/>
  <c r="CV33" i="7" s="1"/>
  <c r="U40" i="7" s="1"/>
  <c r="CQ40" i="7"/>
  <c r="CO11" i="7"/>
  <c r="CP11" i="7" s="1"/>
  <c r="CR11" i="7" s="1"/>
  <c r="CS11" i="7" s="1"/>
  <c r="CV11" i="7" s="1"/>
  <c r="U18" i="7" s="1"/>
  <c r="CO23" i="7"/>
  <c r="CP23" i="7" s="1"/>
  <c r="CR23" i="7" s="1"/>
  <c r="CS23" i="7" s="1"/>
  <c r="CT23" i="7" s="1"/>
  <c r="CW23" i="7" s="1"/>
  <c r="T30" i="7" s="1"/>
  <c r="CQ18" i="7"/>
  <c r="CR18" i="7" s="1"/>
  <c r="CS18" i="7" s="1"/>
  <c r="CU18" i="7" s="1"/>
  <c r="CQ6" i="7"/>
  <c r="CR6" i="7" s="1"/>
  <c r="CS6" i="7" s="1"/>
  <c r="CQ27" i="7"/>
  <c r="CQ13" i="7"/>
  <c r="CR13" i="7" s="1"/>
  <c r="CS13" i="7" s="1"/>
  <c r="CU13" i="7" s="1"/>
  <c r="CQ16" i="7"/>
  <c r="CR16" i="7" s="1"/>
  <c r="CS16" i="7" s="1"/>
  <c r="CO38" i="7"/>
  <c r="CP38" i="7" s="1"/>
  <c r="CR38" i="7" s="1"/>
  <c r="CS38" i="7" s="1"/>
  <c r="CT38" i="7" s="1"/>
  <c r="CW38" i="7" s="1"/>
  <c r="T45" i="7" s="1"/>
  <c r="CQ17" i="7"/>
  <c r="CR17" i="7" s="1"/>
  <c r="CS17" i="7" s="1"/>
  <c r="CV17" i="7" s="1"/>
  <c r="U24" i="7" s="1"/>
  <c r="CO31" i="7"/>
  <c r="CP31" i="7" s="1"/>
  <c r="CO22" i="7"/>
  <c r="CP22" i="7" s="1"/>
  <c r="CR22" i="7" s="1"/>
  <c r="CS22" i="7" s="1"/>
  <c r="CU22" i="7" s="1"/>
  <c r="CO37" i="7"/>
  <c r="CP37" i="7" s="1"/>
  <c r="CR37" i="7" s="1"/>
  <c r="CS37" i="7" s="1"/>
  <c r="CT37" i="7" s="1"/>
  <c r="CW37" i="7" s="1"/>
  <c r="T44" i="7" s="1"/>
  <c r="CO35" i="7"/>
  <c r="CP35" i="7" s="1"/>
  <c r="CP27" i="7"/>
  <c r="CO53" i="7"/>
  <c r="CP53" i="7" s="1"/>
  <c r="CR53" i="7" s="1"/>
  <c r="CS53" i="7" s="1"/>
  <c r="CU53" i="7" s="1"/>
  <c r="CO49" i="7"/>
  <c r="CP49" i="7" s="1"/>
  <c r="CR49" i="7" s="1"/>
  <c r="CS49" i="7" s="1"/>
  <c r="CO47" i="7"/>
  <c r="CP47" i="7" s="1"/>
  <c r="CQ7" i="7"/>
  <c r="CQ32" i="7"/>
  <c r="CR32" i="7" s="1"/>
  <c r="CS32" i="7" s="1"/>
  <c r="CT32" i="7" s="1"/>
  <c r="CW32" i="7" s="1"/>
  <c r="T39" i="7" s="1"/>
  <c r="CO14" i="7"/>
  <c r="CP14" i="7" s="1"/>
  <c r="CR14" i="7" s="1"/>
  <c r="CS14" i="7" s="1"/>
  <c r="CT14" i="7" s="1"/>
  <c r="CW14" i="7" s="1"/>
  <c r="T21" i="7" s="1"/>
  <c r="CQ51" i="7"/>
  <c r="CR51" i="7" s="1"/>
  <c r="CS51" i="7" s="1"/>
  <c r="CT51" i="7" s="1"/>
  <c r="CW51" i="7" s="1"/>
  <c r="T58" i="7" s="1"/>
  <c r="CO50" i="7"/>
  <c r="CP50" i="7" s="1"/>
  <c r="CR50" i="7" s="1"/>
  <c r="CS50" i="7" s="1"/>
  <c r="CQ52" i="7"/>
  <c r="CO48" i="7"/>
  <c r="CP48" i="7" s="1"/>
  <c r="CR48" i="7" s="1"/>
  <c r="CS48" i="7" s="1"/>
  <c r="CT48" i="7" s="1"/>
  <c r="CW48" i="7" s="1"/>
  <c r="T55" i="7" s="1"/>
  <c r="CQ42" i="7"/>
  <c r="CQ28" i="7"/>
  <c r="CR28" i="7" s="1"/>
  <c r="CS28" i="7" s="1"/>
  <c r="CQ25" i="7"/>
  <c r="CR25" i="7" s="1"/>
  <c r="CS25" i="7" s="1"/>
  <c r="CU25" i="7" s="1"/>
  <c r="CQ21" i="7"/>
  <c r="CR21" i="7" s="1"/>
  <c r="CS21" i="7" s="1"/>
  <c r="CU21" i="7" s="1"/>
  <c r="CQ46" i="7"/>
  <c r="CO41" i="7"/>
  <c r="CP41" i="7" s="1"/>
  <c r="CR41" i="7" s="1"/>
  <c r="CS41" i="7" s="1"/>
  <c r="CO45" i="7"/>
  <c r="CP45" i="7" s="1"/>
  <c r="CR20" i="7"/>
  <c r="CS20" i="7" s="1"/>
  <c r="CV20" i="7" s="1"/>
  <c r="U27" i="7" s="1"/>
  <c r="CO39" i="7"/>
  <c r="CP39" i="7" s="1"/>
  <c r="CQ39" i="7"/>
  <c r="N22" i="3"/>
  <c r="S40" i="3" l="1"/>
  <c r="K25" i="3"/>
  <c r="K22" i="3"/>
  <c r="K18" i="3"/>
  <c r="CR24" i="7"/>
  <c r="CS24" i="7" s="1"/>
  <c r="CT24" i="7" s="1"/>
  <c r="CW24" i="7" s="1"/>
  <c r="T31" i="7" s="1"/>
  <c r="CR35" i="7"/>
  <c r="CS35" i="7" s="1"/>
  <c r="CT35" i="7" s="1"/>
  <c r="CW35" i="7" s="1"/>
  <c r="T42" i="7" s="1"/>
  <c r="CR47" i="7"/>
  <c r="CS47" i="7" s="1"/>
  <c r="CT47" i="7" s="1"/>
  <c r="CW47" i="7" s="1"/>
  <c r="T54" i="7" s="1"/>
  <c r="CR40" i="7"/>
  <c r="CS40" i="7" s="1"/>
  <c r="CT40" i="7" s="1"/>
  <c r="CW40" i="7" s="1"/>
  <c r="T47" i="7" s="1"/>
  <c r="CR46" i="7"/>
  <c r="CS46" i="7" s="1"/>
  <c r="CV46" i="7" s="1"/>
  <c r="U53" i="7" s="1"/>
  <c r="CR19" i="7"/>
  <c r="CS19" i="7" s="1"/>
  <c r="CV19" i="7" s="1"/>
  <c r="U26" i="7" s="1"/>
  <c r="CR42" i="7"/>
  <c r="CS42" i="7" s="1"/>
  <c r="CV42" i="7" s="1"/>
  <c r="U49" i="7" s="1"/>
  <c r="CR52" i="7"/>
  <c r="CS52" i="7" s="1"/>
  <c r="CU52" i="7" s="1"/>
  <c r="CY37" i="7"/>
  <c r="CI90" i="7" s="1"/>
  <c r="CM90" i="7" s="1"/>
  <c r="CR7" i="7"/>
  <c r="CS7" i="7" s="1"/>
  <c r="CT7" i="7" s="1"/>
  <c r="CW7" i="7" s="1"/>
  <c r="T14" i="7" s="1"/>
  <c r="CR31" i="7"/>
  <c r="CS31" i="7" s="1"/>
  <c r="CV31" i="7" s="1"/>
  <c r="U38" i="7" s="1"/>
  <c r="CR4" i="7"/>
  <c r="CS4" i="7" s="1"/>
  <c r="CU4" i="7" s="1"/>
  <c r="CR30" i="7"/>
  <c r="CS30" i="7" s="1"/>
  <c r="CT30" i="7" s="1"/>
  <c r="CW30" i="7" s="1"/>
  <c r="T37" i="7" s="1"/>
  <c r="AL185" i="3"/>
  <c r="AM181" i="3"/>
  <c r="AL186" i="3"/>
  <c r="AM135" i="3"/>
  <c r="AL139" i="3"/>
  <c r="AL140" i="3"/>
  <c r="AL162" i="3"/>
  <c r="AL163" i="3"/>
  <c r="AM158" i="3"/>
  <c r="I18" i="3"/>
  <c r="I22" i="3"/>
  <c r="CR45" i="7"/>
  <c r="CS45" i="7" s="1"/>
  <c r="CU45" i="7" s="1"/>
  <c r="CV18" i="7"/>
  <c r="U25" i="7" s="1"/>
  <c r="CY5" i="7"/>
  <c r="CI58" i="7" s="1"/>
  <c r="CM58" i="7" s="1"/>
  <c r="CV24" i="7"/>
  <c r="U31" i="7" s="1"/>
  <c r="CV22" i="7"/>
  <c r="U29" i="7" s="1"/>
  <c r="CT6" i="7"/>
  <c r="CW6" i="7" s="1"/>
  <c r="T13" i="7" s="1"/>
  <c r="CU6" i="7"/>
  <c r="CU37" i="7"/>
  <c r="CV37" i="7"/>
  <c r="U44" i="7" s="1"/>
  <c r="CV9" i="7"/>
  <c r="U16" i="7" s="1"/>
  <c r="CT22" i="7"/>
  <c r="CW22" i="7" s="1"/>
  <c r="T29" i="7" s="1"/>
  <c r="CY9" i="7"/>
  <c r="CI112" i="7" s="1"/>
  <c r="CM112" i="7" s="1"/>
  <c r="CU5" i="7"/>
  <c r="CV5" i="7"/>
  <c r="U12" i="7" s="1"/>
  <c r="CV34" i="7"/>
  <c r="U41" i="7" s="1"/>
  <c r="CT18" i="7"/>
  <c r="CW18" i="7" s="1"/>
  <c r="T25" i="7" s="1"/>
  <c r="CU8" i="7"/>
  <c r="CY8" i="7"/>
  <c r="CI161" i="7" s="1"/>
  <c r="CM161" i="7" s="1"/>
  <c r="CU44" i="7"/>
  <c r="CR27" i="7"/>
  <c r="CS27" i="7" s="1"/>
  <c r="CU27" i="7" s="1"/>
  <c r="CV8" i="7"/>
  <c r="U15" i="7" s="1"/>
  <c r="CU9" i="7"/>
  <c r="CV21" i="7"/>
  <c r="U28" i="7" s="1"/>
  <c r="CT21" i="7"/>
  <c r="CW21" i="7" s="1"/>
  <c r="T28" i="7" s="1"/>
  <c r="CT44" i="7"/>
  <c r="CW44" i="7" s="1"/>
  <c r="T51" i="7" s="1"/>
  <c r="CT17" i="7"/>
  <c r="CW17" i="7" s="1"/>
  <c r="T24" i="7" s="1"/>
  <c r="CV23" i="7"/>
  <c r="U30" i="7" s="1"/>
  <c r="CU24" i="7"/>
  <c r="CV51" i="7"/>
  <c r="U58" i="7" s="1"/>
  <c r="CU51" i="7"/>
  <c r="CY10" i="7"/>
  <c r="CI163" i="7" s="1"/>
  <c r="CM163" i="7" s="1"/>
  <c r="CU32" i="7"/>
  <c r="CV32" i="7"/>
  <c r="U39" i="7" s="1"/>
  <c r="CT15" i="7"/>
  <c r="CW15" i="7" s="1"/>
  <c r="T22" i="7" s="1"/>
  <c r="CU26" i="7"/>
  <c r="CV15" i="7"/>
  <c r="U22" i="7" s="1"/>
  <c r="CV38" i="7"/>
  <c r="U45" i="7" s="1"/>
  <c r="CV43" i="7"/>
  <c r="U50" i="7" s="1"/>
  <c r="CV14" i="7"/>
  <c r="U21" i="7" s="1"/>
  <c r="CT26" i="7"/>
  <c r="CW26" i="7" s="1"/>
  <c r="T33" i="7" s="1"/>
  <c r="CT13" i="7"/>
  <c r="CW13" i="7" s="1"/>
  <c r="T20" i="7" s="1"/>
  <c r="CU14" i="7"/>
  <c r="CU34" i="7"/>
  <c r="CU17" i="7"/>
  <c r="CU20" i="7"/>
  <c r="CV53" i="7"/>
  <c r="CU23" i="7"/>
  <c r="CV10" i="7"/>
  <c r="U17" i="7" s="1"/>
  <c r="CU38" i="7"/>
  <c r="CT11" i="7"/>
  <c r="CW11" i="7" s="1"/>
  <c r="T18" i="7" s="1"/>
  <c r="CT25" i="7"/>
  <c r="CW25" i="7" s="1"/>
  <c r="T32" i="7" s="1"/>
  <c r="CU11" i="7"/>
  <c r="CU12" i="7"/>
  <c r="CV12" i="7"/>
  <c r="U19" i="7" s="1"/>
  <c r="CU50" i="7"/>
  <c r="CV50" i="7"/>
  <c r="U57" i="7" s="1"/>
  <c r="CT50" i="7"/>
  <c r="CW50" i="7" s="1"/>
  <c r="T57" i="7" s="1"/>
  <c r="CU28" i="7"/>
  <c r="CV28" i="7"/>
  <c r="U35" i="7" s="1"/>
  <c r="CT20" i="7"/>
  <c r="CW20" i="7" s="1"/>
  <c r="T27" i="7" s="1"/>
  <c r="CT53" i="7"/>
  <c r="CW53" i="7" s="1"/>
  <c r="CV6" i="7"/>
  <c r="U13" i="7" s="1"/>
  <c r="CV25" i="7"/>
  <c r="U32" i="7" s="1"/>
  <c r="CT33" i="7"/>
  <c r="CW33" i="7" s="1"/>
  <c r="T40" i="7" s="1"/>
  <c r="CU33" i="7"/>
  <c r="CU48" i="7"/>
  <c r="CU43" i="7"/>
  <c r="CU10" i="7"/>
  <c r="CV41" i="7"/>
  <c r="U48" i="7" s="1"/>
  <c r="CT41" i="7"/>
  <c r="CW41" i="7" s="1"/>
  <c r="T48" i="7" s="1"/>
  <c r="CU41" i="7"/>
  <c r="CY48" i="7"/>
  <c r="CI101" i="7" s="1"/>
  <c r="CM101" i="7" s="1"/>
  <c r="CT28" i="7"/>
  <c r="CW28" i="7" s="1"/>
  <c r="T35" i="7" s="1"/>
  <c r="CV48" i="7"/>
  <c r="U55" i="7" s="1"/>
  <c r="CV13" i="7"/>
  <c r="U20" i="7" s="1"/>
  <c r="CR39" i="7"/>
  <c r="CS39" i="7" s="1"/>
  <c r="CV36" i="7"/>
  <c r="U43" i="7" s="1"/>
  <c r="CU36" i="7"/>
  <c r="CT36" i="7"/>
  <c r="CW36" i="7" s="1"/>
  <c r="T43" i="7" s="1"/>
  <c r="CV29" i="7"/>
  <c r="U36" i="7" s="1"/>
  <c r="CU29" i="7"/>
  <c r="CT29" i="7"/>
  <c r="CW29" i="7" s="1"/>
  <c r="T36" i="7" s="1"/>
  <c r="CV16" i="7"/>
  <c r="U23" i="7" s="1"/>
  <c r="CT16" i="7"/>
  <c r="CW16" i="7" s="1"/>
  <c r="T23" i="7" s="1"/>
  <c r="CU16" i="7"/>
  <c r="CU49" i="7"/>
  <c r="CV49" i="7"/>
  <c r="U56" i="7" s="1"/>
  <c r="CT49" i="7"/>
  <c r="CW49" i="7" s="1"/>
  <c r="T56" i="7" s="1"/>
  <c r="CU19" i="7"/>
  <c r="CT19" i="7"/>
  <c r="CW19" i="7" s="1"/>
  <c r="T26" i="7" s="1"/>
  <c r="CX44" i="7"/>
  <c r="CY51" i="7"/>
  <c r="CY14" i="7"/>
  <c r="CX33" i="7"/>
  <c r="CX26" i="7"/>
  <c r="CX20" i="7"/>
  <c r="CX11" i="7"/>
  <c r="CY12" i="7"/>
  <c r="CX17" i="7"/>
  <c r="CY32" i="7"/>
  <c r="CY23" i="7"/>
  <c r="CY43" i="7"/>
  <c r="CY38" i="7"/>
  <c r="CY34" i="7"/>
  <c r="CY24" i="7" l="1"/>
  <c r="CT46" i="7"/>
  <c r="CW46" i="7" s="1"/>
  <c r="T53" i="7" s="1"/>
  <c r="CX46" i="7"/>
  <c r="CH149" i="7" s="1"/>
  <c r="CL149" i="7" s="1"/>
  <c r="CU46" i="7"/>
  <c r="CV47" i="7"/>
  <c r="U54" i="7" s="1"/>
  <c r="CT42" i="7"/>
  <c r="CW42" i="7" s="1"/>
  <c r="T49" i="7" s="1"/>
  <c r="CY35" i="7"/>
  <c r="CI188" i="7" s="1"/>
  <c r="CM188" i="7" s="1"/>
  <c r="DY188" i="7" s="1"/>
  <c r="CU35" i="7"/>
  <c r="CV35" i="7"/>
  <c r="U42" i="7" s="1"/>
  <c r="D59" i="3"/>
  <c r="R41" i="3" s="1"/>
  <c r="CY47" i="7"/>
  <c r="CI200" i="7" s="1"/>
  <c r="CM200" i="7" s="1"/>
  <c r="CU47" i="7"/>
  <c r="CV40" i="7"/>
  <c r="U47" i="7" s="1"/>
  <c r="CU40" i="7"/>
  <c r="CU30" i="7"/>
  <c r="CV30" i="7"/>
  <c r="U37" i="7" s="1"/>
  <c r="CY53" i="7"/>
  <c r="CI106" i="7" s="1"/>
  <c r="CM106" i="7" s="1"/>
  <c r="T60" i="7"/>
  <c r="CX53" i="7"/>
  <c r="CH156" i="7" s="1"/>
  <c r="U60" i="7"/>
  <c r="CU31" i="7"/>
  <c r="CX31" i="7"/>
  <c r="CH184" i="7" s="1"/>
  <c r="CU42" i="7"/>
  <c r="CI140" i="7"/>
  <c r="CM140" i="7" s="1"/>
  <c r="CO140" i="7" s="1"/>
  <c r="CI190" i="7"/>
  <c r="CM190" i="7" s="1"/>
  <c r="DY190" i="7" s="1"/>
  <c r="CT52" i="7"/>
  <c r="CW52" i="7" s="1"/>
  <c r="T59" i="7" s="1"/>
  <c r="CV52" i="7"/>
  <c r="U59" i="7" s="1"/>
  <c r="CT31" i="7"/>
  <c r="CW31" i="7" s="1"/>
  <c r="T38" i="7" s="1"/>
  <c r="CY30" i="7"/>
  <c r="CI83" i="7" s="1"/>
  <c r="CM83" i="7" s="1"/>
  <c r="CX6" i="7"/>
  <c r="CH59" i="7" s="1"/>
  <c r="CX32" i="7"/>
  <c r="CH185" i="7" s="1"/>
  <c r="CX36" i="7"/>
  <c r="CH139" i="7" s="1"/>
  <c r="CV7" i="7"/>
  <c r="U14" i="7" s="1"/>
  <c r="CY28" i="7"/>
  <c r="CI131" i="7" s="1"/>
  <c r="CM131" i="7" s="1"/>
  <c r="CX41" i="7"/>
  <c r="CH194" i="7" s="1"/>
  <c r="CX28" i="7"/>
  <c r="CH131" i="7" s="1"/>
  <c r="CY13" i="7"/>
  <c r="CI166" i="7" s="1"/>
  <c r="CM166" i="7" s="1"/>
  <c r="CO166" i="7" s="1"/>
  <c r="CX38" i="7"/>
  <c r="CH91" i="7" s="1"/>
  <c r="CX9" i="7"/>
  <c r="CH62" i="7" s="1"/>
  <c r="CL62" i="7" s="1"/>
  <c r="CY6" i="7"/>
  <c r="CI59" i="7" s="1"/>
  <c r="CM59" i="7" s="1"/>
  <c r="CX24" i="7"/>
  <c r="CH127" i="7" s="1"/>
  <c r="CX42" i="7"/>
  <c r="CH95" i="7" s="1"/>
  <c r="CY21" i="7"/>
  <c r="CI174" i="7" s="1"/>
  <c r="CM174" i="7" s="1"/>
  <c r="CY18" i="7"/>
  <c r="CI121" i="7" s="1"/>
  <c r="CM121" i="7" s="1"/>
  <c r="CY50" i="7"/>
  <c r="CI103" i="7" s="1"/>
  <c r="CM103" i="7" s="1"/>
  <c r="CX21" i="7"/>
  <c r="CH124" i="7" s="1"/>
  <c r="CX34" i="7"/>
  <c r="CH137" i="7" s="1"/>
  <c r="CY7" i="7"/>
  <c r="CI160" i="7" s="1"/>
  <c r="CM160" i="7" s="1"/>
  <c r="CU7" i="7"/>
  <c r="CX43" i="7"/>
  <c r="CH96" i="7" s="1"/>
  <c r="CX51" i="7"/>
  <c r="CH104" i="7" s="1"/>
  <c r="CY44" i="7"/>
  <c r="CI197" i="7" s="1"/>
  <c r="CM197" i="7" s="1"/>
  <c r="CT4" i="7"/>
  <c r="CW4" i="7" s="1"/>
  <c r="CY4" i="7" s="1"/>
  <c r="CI57" i="7" s="1"/>
  <c r="CM57" i="7" s="1"/>
  <c r="CV4" i="7"/>
  <c r="U11" i="7" s="1"/>
  <c r="CX5" i="7"/>
  <c r="CH108" i="7" s="1"/>
  <c r="AM185" i="3"/>
  <c r="AN181" i="3"/>
  <c r="AM186" i="3"/>
  <c r="AM140" i="3"/>
  <c r="AN135" i="3"/>
  <c r="AM139" i="3"/>
  <c r="AM163" i="3"/>
  <c r="AM162" i="3"/>
  <c r="AN158" i="3"/>
  <c r="D58" i="3"/>
  <c r="O47" i="3" s="1"/>
  <c r="CX18" i="7"/>
  <c r="CH71" i="7" s="1"/>
  <c r="CI158" i="7"/>
  <c r="CM158" i="7" s="1"/>
  <c r="CO158" i="7" s="1"/>
  <c r="CX8" i="7"/>
  <c r="CH61" i="7" s="1"/>
  <c r="CV45" i="7"/>
  <c r="U52" i="7" s="1"/>
  <c r="CY40" i="7"/>
  <c r="CI143" i="7" s="1"/>
  <c r="CM143" i="7" s="1"/>
  <c r="CX22" i="7"/>
  <c r="CH75" i="7" s="1"/>
  <c r="CT45" i="7"/>
  <c r="CW45" i="7" s="1"/>
  <c r="T52" i="7" s="1"/>
  <c r="CI108" i="7"/>
  <c r="CM108" i="7" s="1"/>
  <c r="CO108" i="7" s="1"/>
  <c r="CY17" i="7"/>
  <c r="CI120" i="7" s="1"/>
  <c r="CM120" i="7" s="1"/>
  <c r="CX50" i="7"/>
  <c r="CH153" i="7" s="1"/>
  <c r="CV27" i="7"/>
  <c r="U34" i="7" s="1"/>
  <c r="CY22" i="7"/>
  <c r="CI175" i="7" s="1"/>
  <c r="CM175" i="7" s="1"/>
  <c r="CI111" i="7"/>
  <c r="CM111" i="7" s="1"/>
  <c r="CO111" i="7" s="1"/>
  <c r="CI162" i="7"/>
  <c r="CM162" i="7" s="1"/>
  <c r="CO162" i="7" s="1"/>
  <c r="CI62" i="7"/>
  <c r="CM62" i="7" s="1"/>
  <c r="DY62" i="7" s="1"/>
  <c r="CI61" i="7"/>
  <c r="CM61" i="7" s="1"/>
  <c r="DY61" i="7" s="1"/>
  <c r="CX37" i="7"/>
  <c r="CH190" i="7" s="1"/>
  <c r="CY26" i="7"/>
  <c r="CI79" i="7" s="1"/>
  <c r="CM79" i="7" s="1"/>
  <c r="CX14" i="7"/>
  <c r="CH67" i="7" s="1"/>
  <c r="CY36" i="7"/>
  <c r="CI89" i="7" s="1"/>
  <c r="CM89" i="7" s="1"/>
  <c r="CT27" i="7"/>
  <c r="CW27" i="7" s="1"/>
  <c r="T34" i="7" s="1"/>
  <c r="CX15" i="7"/>
  <c r="CH68" i="7" s="1"/>
  <c r="CL68" i="7" s="1"/>
  <c r="CX12" i="7"/>
  <c r="CH165" i="7" s="1"/>
  <c r="CI63" i="7"/>
  <c r="CM63" i="7" s="1"/>
  <c r="CO63" i="7" s="1"/>
  <c r="CI113" i="7"/>
  <c r="CM113" i="7" s="1"/>
  <c r="DY113" i="7" s="1"/>
  <c r="CY20" i="7"/>
  <c r="CI73" i="7" s="1"/>
  <c r="CM73" i="7" s="1"/>
  <c r="CX23" i="7"/>
  <c r="CH76" i="7" s="1"/>
  <c r="CY11" i="7"/>
  <c r="CI64" i="7" s="1"/>
  <c r="CM64" i="7" s="1"/>
  <c r="CY15" i="7"/>
  <c r="CY25" i="7"/>
  <c r="CI78" i="7" s="1"/>
  <c r="CM78" i="7" s="1"/>
  <c r="CO78" i="7" s="1"/>
  <c r="CX10" i="7"/>
  <c r="CH163" i="7" s="1"/>
  <c r="CY33" i="7"/>
  <c r="CI136" i="7" s="1"/>
  <c r="CM136" i="7" s="1"/>
  <c r="CY41" i="7"/>
  <c r="CI194" i="7" s="1"/>
  <c r="CM194" i="7" s="1"/>
  <c r="CX25" i="7"/>
  <c r="CX13" i="7"/>
  <c r="CI201" i="7"/>
  <c r="CM201" i="7" s="1"/>
  <c r="CO201" i="7" s="1"/>
  <c r="CY42" i="7"/>
  <c r="CX48" i="7"/>
  <c r="CI151" i="7"/>
  <c r="CM151" i="7" s="1"/>
  <c r="DY151" i="7" s="1"/>
  <c r="CY46" i="7"/>
  <c r="CT39" i="7"/>
  <c r="CW39" i="7" s="1"/>
  <c r="T46" i="7" s="1"/>
  <c r="CU39" i="7"/>
  <c r="CV39" i="7"/>
  <c r="U46" i="7" s="1"/>
  <c r="CX29" i="7"/>
  <c r="CY29" i="7"/>
  <c r="E622" i="6"/>
  <c r="CX16" i="7"/>
  <c r="CY16" i="7"/>
  <c r="CX49" i="7"/>
  <c r="CY49" i="7"/>
  <c r="CI77" i="7"/>
  <c r="CM77" i="7" s="1"/>
  <c r="CI127" i="7"/>
  <c r="CM127" i="7" s="1"/>
  <c r="CI177" i="7"/>
  <c r="CM177" i="7" s="1"/>
  <c r="CH120" i="7"/>
  <c r="CH170" i="7"/>
  <c r="CH70" i="7"/>
  <c r="CH147" i="7"/>
  <c r="CH197" i="7"/>
  <c r="CH97" i="7"/>
  <c r="CX19" i="7"/>
  <c r="DY161" i="7"/>
  <c r="CO161" i="7"/>
  <c r="CI165" i="7"/>
  <c r="CM165" i="7" s="1"/>
  <c r="CI65" i="7"/>
  <c r="CM65" i="7" s="1"/>
  <c r="CI115" i="7"/>
  <c r="CM115" i="7" s="1"/>
  <c r="CI96" i="7"/>
  <c r="CM96" i="7" s="1"/>
  <c r="CI146" i="7"/>
  <c r="CM146" i="7" s="1"/>
  <c r="CI196" i="7"/>
  <c r="CM196" i="7" s="1"/>
  <c r="DY112" i="7"/>
  <c r="CO112" i="7"/>
  <c r="DY90" i="7"/>
  <c r="CO90" i="7"/>
  <c r="CY19" i="7"/>
  <c r="CH173" i="7"/>
  <c r="CH123" i="7"/>
  <c r="CH73" i="7"/>
  <c r="CI185" i="7"/>
  <c r="CM185" i="7" s="1"/>
  <c r="CI85" i="7"/>
  <c r="CM85" i="7" s="1"/>
  <c r="CI135" i="7"/>
  <c r="CM135" i="7" s="1"/>
  <c r="CI87" i="7"/>
  <c r="CM87" i="7" s="1"/>
  <c r="CI137" i="7"/>
  <c r="CM137" i="7" s="1"/>
  <c r="CI187" i="7"/>
  <c r="CM187" i="7" s="1"/>
  <c r="DY163" i="7"/>
  <c r="CO163" i="7"/>
  <c r="CH136" i="7"/>
  <c r="CH186" i="7"/>
  <c r="CH86" i="7"/>
  <c r="CI204" i="7"/>
  <c r="CM204" i="7" s="1"/>
  <c r="CI104" i="7"/>
  <c r="CM104" i="7" s="1"/>
  <c r="CI154" i="7"/>
  <c r="CM154" i="7" s="1"/>
  <c r="CI91" i="7"/>
  <c r="CM91" i="7" s="1"/>
  <c r="CI141" i="7"/>
  <c r="CM141" i="7" s="1"/>
  <c r="CI191" i="7"/>
  <c r="CM191" i="7" s="1"/>
  <c r="DY58" i="7"/>
  <c r="CO58" i="7"/>
  <c r="CH164" i="7"/>
  <c r="CH64" i="7"/>
  <c r="CH114" i="7"/>
  <c r="CI76" i="7"/>
  <c r="CM76" i="7" s="1"/>
  <c r="CI176" i="7"/>
  <c r="CM176" i="7" s="1"/>
  <c r="CI126" i="7"/>
  <c r="CM126" i="7" s="1"/>
  <c r="DY101" i="7"/>
  <c r="CO101" i="7"/>
  <c r="CH129" i="7"/>
  <c r="CH179" i="7"/>
  <c r="CH79" i="7"/>
  <c r="CI167" i="7"/>
  <c r="CM167" i="7" s="1"/>
  <c r="CI117" i="7"/>
  <c r="CM117" i="7" s="1"/>
  <c r="CI67" i="7"/>
  <c r="CM67" i="7" s="1"/>
  <c r="CH199" i="7" l="1"/>
  <c r="CL199" i="7" s="1"/>
  <c r="O49" i="3"/>
  <c r="BK132" i="3" s="1"/>
  <c r="BK136" i="3" s="1"/>
  <c r="S36" i="3"/>
  <c r="CI100" i="7"/>
  <c r="CM100" i="7" s="1"/>
  <c r="CO100" i="7" s="1"/>
  <c r="CX35" i="7"/>
  <c r="CH138" i="7" s="1"/>
  <c r="CH99" i="7"/>
  <c r="CL99" i="7" s="1"/>
  <c r="CX47" i="7"/>
  <c r="CH200" i="7" s="1"/>
  <c r="CL200" i="7" s="1"/>
  <c r="CX52" i="7"/>
  <c r="CH205" i="7" s="1"/>
  <c r="CX40" i="7"/>
  <c r="CH193" i="7" s="1"/>
  <c r="CI88" i="7"/>
  <c r="CM88" i="7" s="1"/>
  <c r="CO88" i="7" s="1"/>
  <c r="CI138" i="7"/>
  <c r="CM138" i="7" s="1"/>
  <c r="CO138" i="7" s="1"/>
  <c r="CO188" i="7"/>
  <c r="CX30" i="7"/>
  <c r="CH183" i="7" s="1"/>
  <c r="CL183" i="7" s="1"/>
  <c r="CI150" i="7"/>
  <c r="CM150" i="7" s="1"/>
  <c r="CO150" i="7" s="1"/>
  <c r="CH106" i="7"/>
  <c r="CL106" i="7" s="1"/>
  <c r="CI206" i="7"/>
  <c r="CM206" i="7" s="1"/>
  <c r="DY206" i="7" s="1"/>
  <c r="DY140" i="7"/>
  <c r="CH84" i="7"/>
  <c r="CL84" i="7" s="1"/>
  <c r="CI156" i="7"/>
  <c r="CM156" i="7" s="1"/>
  <c r="CO156" i="7" s="1"/>
  <c r="CO190" i="7"/>
  <c r="CY52" i="7"/>
  <c r="CI155" i="7" s="1"/>
  <c r="CM155" i="7" s="1"/>
  <c r="CO155" i="7" s="1"/>
  <c r="CH195" i="7"/>
  <c r="CL195" i="7" s="1"/>
  <c r="CH134" i="7"/>
  <c r="CL134" i="7" s="1"/>
  <c r="CI133" i="7"/>
  <c r="CM133" i="7" s="1"/>
  <c r="CO133" i="7" s="1"/>
  <c r="CH206" i="7"/>
  <c r="CL206" i="7" s="1"/>
  <c r="T11" i="7"/>
  <c r="CH187" i="7"/>
  <c r="CL187" i="7" s="1"/>
  <c r="CX4" i="7"/>
  <c r="CH57" i="7" s="1"/>
  <c r="CL57" i="7" s="1"/>
  <c r="CH158" i="7"/>
  <c r="CL158" i="7" s="1"/>
  <c r="CI60" i="7"/>
  <c r="CM60" i="7" s="1"/>
  <c r="DY60" i="7" s="1"/>
  <c r="CI109" i="7"/>
  <c r="CM109" i="7" s="1"/>
  <c r="DY109" i="7" s="1"/>
  <c r="CH177" i="7"/>
  <c r="CL177" i="7" s="1"/>
  <c r="CX7" i="7"/>
  <c r="CH160" i="7" s="1"/>
  <c r="CL160" i="7" s="1"/>
  <c r="CI124" i="7"/>
  <c r="CM124" i="7" s="1"/>
  <c r="CH85" i="7"/>
  <c r="CL85" i="7" s="1"/>
  <c r="CI181" i="7"/>
  <c r="CM181" i="7" s="1"/>
  <c r="DY181" i="7" s="1"/>
  <c r="CI157" i="7"/>
  <c r="CM157" i="7" s="1"/>
  <c r="DY157" i="7" s="1"/>
  <c r="CH141" i="7"/>
  <c r="CL141" i="7" s="1"/>
  <c r="CH74" i="7"/>
  <c r="CL74" i="7" s="1"/>
  <c r="CH109" i="7"/>
  <c r="CL109" i="7" s="1"/>
  <c r="CH181" i="7"/>
  <c r="CL181" i="7" s="1"/>
  <c r="CH145" i="7"/>
  <c r="CL145" i="7" s="1"/>
  <c r="CH191" i="7"/>
  <c r="CL191" i="7" s="1"/>
  <c r="CH174" i="7"/>
  <c r="CL174" i="7" s="1"/>
  <c r="CH77" i="7"/>
  <c r="CL77" i="7" s="1"/>
  <c r="DY166" i="7"/>
  <c r="CI147" i="7"/>
  <c r="CM147" i="7" s="1"/>
  <c r="DY147" i="7" s="1"/>
  <c r="CH154" i="7"/>
  <c r="CL154" i="7" s="1"/>
  <c r="CI97" i="7"/>
  <c r="CM97" i="7" s="1"/>
  <c r="DY97" i="7" s="1"/>
  <c r="CI171" i="7"/>
  <c r="CM171" i="7" s="1"/>
  <c r="DY171" i="7" s="1"/>
  <c r="CY31" i="7"/>
  <c r="CI134" i="7" s="1"/>
  <c r="CM134" i="7" s="1"/>
  <c r="DY134" i="7" s="1"/>
  <c r="CH89" i="7"/>
  <c r="CL89" i="7" s="1"/>
  <c r="CI183" i="7"/>
  <c r="CM183" i="7" s="1"/>
  <c r="DY183" i="7" s="1"/>
  <c r="CH81" i="7"/>
  <c r="CL81" i="7" s="1"/>
  <c r="CI71" i="7"/>
  <c r="CM71" i="7" s="1"/>
  <c r="DY71" i="7" s="1"/>
  <c r="CI116" i="7"/>
  <c r="CM116" i="7" s="1"/>
  <c r="CO116" i="7" s="1"/>
  <c r="CI74" i="7"/>
  <c r="CM74" i="7" s="1"/>
  <c r="DY74" i="7" s="1"/>
  <c r="CH146" i="7"/>
  <c r="CL146" i="7" s="1"/>
  <c r="CH87" i="7"/>
  <c r="CL87" i="7" s="1"/>
  <c r="CH112" i="7"/>
  <c r="CL112" i="7" s="1"/>
  <c r="DX112" i="7" s="1"/>
  <c r="CH135" i="7"/>
  <c r="CL135" i="7" s="1"/>
  <c r="CH144" i="7"/>
  <c r="CL144" i="7" s="1"/>
  <c r="CI81" i="7"/>
  <c r="CM81" i="7" s="1"/>
  <c r="CO81" i="7" s="1"/>
  <c r="CH196" i="7"/>
  <c r="CL196" i="7" s="1"/>
  <c r="CH162" i="7"/>
  <c r="CL162" i="7" s="1"/>
  <c r="CN162" i="7" s="1"/>
  <c r="CR162" i="7" s="1"/>
  <c r="CU162" i="7" s="1"/>
  <c r="CI66" i="7"/>
  <c r="CM66" i="7" s="1"/>
  <c r="CO66" i="7" s="1"/>
  <c r="CI110" i="7"/>
  <c r="CM110" i="7" s="1"/>
  <c r="CO110" i="7" s="1"/>
  <c r="CI159" i="7"/>
  <c r="CM159" i="7" s="1"/>
  <c r="CO159" i="7" s="1"/>
  <c r="CI153" i="7"/>
  <c r="CM153" i="7" s="1"/>
  <c r="CO153" i="7" s="1"/>
  <c r="CH204" i="7"/>
  <c r="CL204" i="7" s="1"/>
  <c r="CH150" i="7"/>
  <c r="CL150" i="7" s="1"/>
  <c r="CI203" i="7"/>
  <c r="CM203" i="7" s="1"/>
  <c r="DY203" i="7" s="1"/>
  <c r="CH94" i="7"/>
  <c r="CL94" i="7" s="1"/>
  <c r="CH189" i="7"/>
  <c r="CL189" i="7" s="1"/>
  <c r="CH159" i="7"/>
  <c r="CL159" i="7" s="1"/>
  <c r="CY45" i="7"/>
  <c r="CI98" i="7" s="1"/>
  <c r="CM98" i="7" s="1"/>
  <c r="DY98" i="7" s="1"/>
  <c r="CH58" i="7"/>
  <c r="CL58" i="7" s="1"/>
  <c r="CI107" i="7"/>
  <c r="CM107" i="7" s="1"/>
  <c r="CO107" i="7" s="1"/>
  <c r="AO181" i="3"/>
  <c r="AN186" i="3"/>
  <c r="AN185" i="3"/>
  <c r="AO158" i="3"/>
  <c r="AN162" i="3"/>
  <c r="AN163" i="3"/>
  <c r="AN139" i="3"/>
  <c r="AO135" i="3"/>
  <c r="AN140" i="3"/>
  <c r="CH121" i="7"/>
  <c r="CL121" i="7" s="1"/>
  <c r="DY158" i="7"/>
  <c r="CH111" i="7"/>
  <c r="CL111" i="7" s="1"/>
  <c r="CH171" i="7"/>
  <c r="CL171" i="7" s="1"/>
  <c r="CI93" i="7"/>
  <c r="CM93" i="7" s="1"/>
  <c r="DY93" i="7" s="1"/>
  <c r="CH125" i="7"/>
  <c r="CL125" i="7" s="1"/>
  <c r="CI193" i="7"/>
  <c r="CM193" i="7" s="1"/>
  <c r="DY193" i="7" s="1"/>
  <c r="CH175" i="7"/>
  <c r="CL175" i="7" s="1"/>
  <c r="CH161" i="7"/>
  <c r="CL161" i="7" s="1"/>
  <c r="CX45" i="7"/>
  <c r="CH148" i="7" s="1"/>
  <c r="CL148" i="7" s="1"/>
  <c r="DX148" i="7" s="1"/>
  <c r="CI170" i="7"/>
  <c r="CM170" i="7" s="1"/>
  <c r="DY170" i="7" s="1"/>
  <c r="CI70" i="7"/>
  <c r="CM70" i="7" s="1"/>
  <c r="CO70" i="7" s="1"/>
  <c r="CI129" i="7"/>
  <c r="CM129" i="7" s="1"/>
  <c r="DY129" i="7" s="1"/>
  <c r="CH203" i="7"/>
  <c r="CL203" i="7" s="1"/>
  <c r="CH103" i="7"/>
  <c r="CL103" i="7" s="1"/>
  <c r="DY108" i="7"/>
  <c r="CI125" i="7"/>
  <c r="CM125" i="7" s="1"/>
  <c r="DY125" i="7" s="1"/>
  <c r="CX27" i="7"/>
  <c r="CH130" i="7" s="1"/>
  <c r="CL130" i="7" s="1"/>
  <c r="CH143" i="7"/>
  <c r="CL143" i="7" s="1"/>
  <c r="CI75" i="7"/>
  <c r="CM75" i="7" s="1"/>
  <c r="DY75" i="7" s="1"/>
  <c r="DY162" i="7"/>
  <c r="CH126" i="7"/>
  <c r="CL126" i="7" s="1"/>
  <c r="CI173" i="7"/>
  <c r="CM173" i="7" s="1"/>
  <c r="CO173" i="7" s="1"/>
  <c r="CH93" i="7"/>
  <c r="CL93" i="7" s="1"/>
  <c r="CI139" i="7"/>
  <c r="CM139" i="7" s="1"/>
  <c r="CO139" i="7" s="1"/>
  <c r="DY111" i="7"/>
  <c r="CI189" i="7"/>
  <c r="CM189" i="7" s="1"/>
  <c r="DY189" i="7" s="1"/>
  <c r="CH88" i="7"/>
  <c r="CL88" i="7" s="1"/>
  <c r="CH188" i="7"/>
  <c r="CL188" i="7" s="1"/>
  <c r="CO61" i="7"/>
  <c r="CO62" i="7"/>
  <c r="CI179" i="7"/>
  <c r="CM179" i="7" s="1"/>
  <c r="CO179" i="7" s="1"/>
  <c r="CH167" i="7"/>
  <c r="CL167" i="7" s="1"/>
  <c r="CH117" i="7"/>
  <c r="CL117" i="7" s="1"/>
  <c r="CH140" i="7"/>
  <c r="CL140" i="7" s="1"/>
  <c r="CH90" i="7"/>
  <c r="CL90" i="7" s="1"/>
  <c r="CH113" i="7"/>
  <c r="CL113" i="7" s="1"/>
  <c r="CH118" i="7"/>
  <c r="CL118" i="7" s="1"/>
  <c r="DX118" i="7" s="1"/>
  <c r="CH65" i="7"/>
  <c r="CL65" i="7" s="1"/>
  <c r="CH115" i="7"/>
  <c r="CL115" i="7" s="1"/>
  <c r="CI123" i="7"/>
  <c r="CM123" i="7" s="1"/>
  <c r="CO123" i="7" s="1"/>
  <c r="CH168" i="7"/>
  <c r="CL168" i="7" s="1"/>
  <c r="DX168" i="7" s="1"/>
  <c r="CY27" i="7"/>
  <c r="DY201" i="7"/>
  <c r="CI114" i="7"/>
  <c r="CM114" i="7" s="1"/>
  <c r="DY114" i="7" s="1"/>
  <c r="CI164" i="7"/>
  <c r="CM164" i="7" s="1"/>
  <c r="CO164" i="7" s="1"/>
  <c r="DY63" i="7"/>
  <c r="CH176" i="7"/>
  <c r="CL176" i="7" s="1"/>
  <c r="CH63" i="7"/>
  <c r="CL63" i="7" s="1"/>
  <c r="CO113" i="7"/>
  <c r="CI186" i="7"/>
  <c r="CM186" i="7" s="1"/>
  <c r="CO186" i="7" s="1"/>
  <c r="CI86" i="7"/>
  <c r="CM86" i="7" s="1"/>
  <c r="DY86" i="7" s="1"/>
  <c r="CI178" i="7"/>
  <c r="CM178" i="7" s="1"/>
  <c r="CI128" i="7"/>
  <c r="CM128" i="7" s="1"/>
  <c r="CO151" i="7"/>
  <c r="CI94" i="7"/>
  <c r="CM94" i="7" s="1"/>
  <c r="CO94" i="7" s="1"/>
  <c r="CI144" i="7"/>
  <c r="CM144" i="7" s="1"/>
  <c r="DY144" i="7" s="1"/>
  <c r="CI168" i="7"/>
  <c r="CM168" i="7" s="1"/>
  <c r="CI118" i="7"/>
  <c r="CM118" i="7" s="1"/>
  <c r="CI68" i="7"/>
  <c r="CM68" i="7" s="1"/>
  <c r="CH78" i="7"/>
  <c r="CL78" i="7" s="1"/>
  <c r="CN78" i="7" s="1"/>
  <c r="CP78" i="7" s="1"/>
  <c r="CS78" i="7" s="1"/>
  <c r="CT78" i="7" s="1"/>
  <c r="CH128" i="7"/>
  <c r="CL128" i="7" s="1"/>
  <c r="CN128" i="7" s="1"/>
  <c r="CH178" i="7"/>
  <c r="CL178" i="7" s="1"/>
  <c r="DX178" i="7" s="1"/>
  <c r="DY78" i="7"/>
  <c r="CI95" i="7"/>
  <c r="CM95" i="7" s="1"/>
  <c r="CI145" i="7"/>
  <c r="CM145" i="7" s="1"/>
  <c r="CI195" i="7"/>
  <c r="CM195" i="7" s="1"/>
  <c r="CI199" i="7"/>
  <c r="CM199" i="7" s="1"/>
  <c r="CI99" i="7"/>
  <c r="CM99" i="7" s="1"/>
  <c r="CI149" i="7"/>
  <c r="CM149" i="7" s="1"/>
  <c r="CH151" i="7"/>
  <c r="CL151" i="7" s="1"/>
  <c r="DX151" i="7" s="1"/>
  <c r="CH101" i="7"/>
  <c r="CL101" i="7" s="1"/>
  <c r="DX101" i="7" s="1"/>
  <c r="CH201" i="7"/>
  <c r="CL201" i="7" s="1"/>
  <c r="CN201" i="7" s="1"/>
  <c r="CP201" i="7" s="1"/>
  <c r="CS201" i="7" s="1"/>
  <c r="CT201" i="7" s="1"/>
  <c r="CH166" i="7"/>
  <c r="CL166" i="7" s="1"/>
  <c r="DX166" i="7" s="1"/>
  <c r="CH116" i="7"/>
  <c r="CL116" i="7" s="1"/>
  <c r="DX116" i="7" s="1"/>
  <c r="CH66" i="7"/>
  <c r="CL66" i="7" s="1"/>
  <c r="CN66" i="7" s="1"/>
  <c r="CP66" i="7" s="1"/>
  <c r="CS66" i="7" s="1"/>
  <c r="CT66" i="7" s="1"/>
  <c r="CY39" i="7"/>
  <c r="CX39" i="7"/>
  <c r="CH82" i="7"/>
  <c r="CL82" i="7" s="1"/>
  <c r="DX82" i="7" s="1"/>
  <c r="CH132" i="7"/>
  <c r="CL132" i="7" s="1"/>
  <c r="CN132" i="7" s="1"/>
  <c r="CH182" i="7"/>
  <c r="CL182" i="7" s="1"/>
  <c r="CN182" i="7" s="1"/>
  <c r="CQ182" i="7" s="1"/>
  <c r="CI82" i="7"/>
  <c r="CM82" i="7" s="1"/>
  <c r="CI132" i="7"/>
  <c r="CM132" i="7" s="1"/>
  <c r="CI182" i="7"/>
  <c r="CM182" i="7" s="1"/>
  <c r="CH169" i="7"/>
  <c r="CL169" i="7" s="1"/>
  <c r="DX169" i="7" s="1"/>
  <c r="CH69" i="7"/>
  <c r="CL69" i="7" s="1"/>
  <c r="DX69" i="7" s="1"/>
  <c r="CH119" i="7"/>
  <c r="CL119" i="7" s="1"/>
  <c r="DX119" i="7" s="1"/>
  <c r="CI169" i="7"/>
  <c r="CM169" i="7" s="1"/>
  <c r="CI119" i="7"/>
  <c r="CM119" i="7" s="1"/>
  <c r="CI69" i="7"/>
  <c r="CM69" i="7" s="1"/>
  <c r="CN62" i="7"/>
  <c r="CQ62" i="7" s="1"/>
  <c r="DX62" i="7"/>
  <c r="CH202" i="7"/>
  <c r="CL202" i="7" s="1"/>
  <c r="CH152" i="7"/>
  <c r="CL152" i="7" s="1"/>
  <c r="CH102" i="7"/>
  <c r="CL102" i="7" s="1"/>
  <c r="CI202" i="7"/>
  <c r="CM202" i="7" s="1"/>
  <c r="CI152" i="7"/>
  <c r="CM152" i="7" s="1"/>
  <c r="CI102" i="7"/>
  <c r="CM102" i="7" s="1"/>
  <c r="DY117" i="7"/>
  <c r="CO117" i="7"/>
  <c r="CL129" i="7"/>
  <c r="DY200" i="7"/>
  <c r="CO200" i="7"/>
  <c r="CL127" i="7"/>
  <c r="CL136" i="7"/>
  <c r="CL61" i="7"/>
  <c r="CO137" i="7"/>
  <c r="DY137" i="7"/>
  <c r="CN99" i="7"/>
  <c r="DX99" i="7"/>
  <c r="CO120" i="7"/>
  <c r="DY120" i="7"/>
  <c r="CL156" i="7"/>
  <c r="CL190" i="7"/>
  <c r="DY65" i="7"/>
  <c r="CO65" i="7"/>
  <c r="CL59" i="7"/>
  <c r="CL137" i="7"/>
  <c r="CL67" i="7"/>
  <c r="DY67" i="7"/>
  <c r="CO67" i="7"/>
  <c r="CL179" i="7"/>
  <c r="DY136" i="7"/>
  <c r="CO136" i="7"/>
  <c r="CL139" i="7"/>
  <c r="DY91" i="7"/>
  <c r="CO91" i="7"/>
  <c r="CO204" i="7"/>
  <c r="DY204" i="7"/>
  <c r="CL186" i="7"/>
  <c r="DY187" i="7"/>
  <c r="CO187" i="7"/>
  <c r="CL71" i="7"/>
  <c r="DY83" i="7"/>
  <c r="CO83" i="7"/>
  <c r="CL173" i="7"/>
  <c r="CO175" i="7"/>
  <c r="DY175" i="7"/>
  <c r="CL153" i="7"/>
  <c r="CL76" i="7"/>
  <c r="CL91" i="7"/>
  <c r="DY115" i="7"/>
  <c r="CO115" i="7"/>
  <c r="CH172" i="7"/>
  <c r="CH122" i="7"/>
  <c r="CH72" i="7"/>
  <c r="CL147" i="7"/>
  <c r="CL205" i="7"/>
  <c r="CL79" i="7"/>
  <c r="CL184" i="7"/>
  <c r="CN149" i="7"/>
  <c r="CP149" i="7" s="1"/>
  <c r="CS149" i="7" s="1"/>
  <c r="CT149" i="7" s="1"/>
  <c r="DX149" i="7"/>
  <c r="DY76" i="7"/>
  <c r="CO76" i="7"/>
  <c r="CL164" i="7"/>
  <c r="CO141" i="7"/>
  <c r="DY141" i="7"/>
  <c r="CO104" i="7"/>
  <c r="DY104" i="7"/>
  <c r="CL86" i="7"/>
  <c r="CO185" i="7"/>
  <c r="DY185" i="7"/>
  <c r="CL123" i="7"/>
  <c r="DY197" i="7"/>
  <c r="CO197" i="7"/>
  <c r="CL165" i="7"/>
  <c r="DY174" i="7"/>
  <c r="CO174" i="7"/>
  <c r="CO73" i="7"/>
  <c r="DY73" i="7"/>
  <c r="DY194" i="7"/>
  <c r="CO194" i="7"/>
  <c r="CL197" i="7"/>
  <c r="CL120" i="7"/>
  <c r="CO64" i="7"/>
  <c r="DY64" i="7"/>
  <c r="DY176" i="7"/>
  <c r="CO176" i="7"/>
  <c r="CL64" i="7"/>
  <c r="CO191" i="7"/>
  <c r="DY191" i="7"/>
  <c r="DY154" i="7"/>
  <c r="CO154" i="7"/>
  <c r="CL185" i="7"/>
  <c r="CL104" i="7"/>
  <c r="CO89" i="7"/>
  <c r="DY89" i="7"/>
  <c r="DY85" i="7"/>
  <c r="CO85" i="7"/>
  <c r="DY106" i="7"/>
  <c r="CO106" i="7"/>
  <c r="CL194" i="7"/>
  <c r="CL73" i="7"/>
  <c r="DY79" i="7"/>
  <c r="CO79" i="7"/>
  <c r="CO96" i="7"/>
  <c r="DY96" i="7"/>
  <c r="CL97" i="7"/>
  <c r="CL170" i="7"/>
  <c r="CL96" i="7"/>
  <c r="CO77" i="7"/>
  <c r="DY77" i="7"/>
  <c r="DY121" i="7"/>
  <c r="CO121" i="7"/>
  <c r="CL108" i="7"/>
  <c r="DY126" i="7"/>
  <c r="CO126" i="7"/>
  <c r="CL114" i="7"/>
  <c r="CL193" i="7"/>
  <c r="DY103" i="7"/>
  <c r="CO103" i="7"/>
  <c r="DY135" i="7"/>
  <c r="CO135" i="7"/>
  <c r="CO131" i="7"/>
  <c r="DY131" i="7"/>
  <c r="DX68" i="7"/>
  <c r="CN68" i="7"/>
  <c r="CL131" i="7"/>
  <c r="CL138" i="7"/>
  <c r="DY146" i="7"/>
  <c r="CO146" i="7"/>
  <c r="CL70" i="7"/>
  <c r="CL124" i="7"/>
  <c r="DY127" i="7"/>
  <c r="CO127" i="7"/>
  <c r="DY167" i="7"/>
  <c r="CO167" i="7"/>
  <c r="CL75" i="7"/>
  <c r="CL95" i="7"/>
  <c r="DY87" i="7"/>
  <c r="CO87" i="7"/>
  <c r="DY160" i="7"/>
  <c r="CO160" i="7"/>
  <c r="CO57" i="7"/>
  <c r="DY57" i="7"/>
  <c r="CI122" i="7"/>
  <c r="CM122" i="7" s="1"/>
  <c r="CI72" i="7"/>
  <c r="CM72" i="7" s="1"/>
  <c r="CI172" i="7"/>
  <c r="CM172" i="7" s="1"/>
  <c r="DY143" i="7"/>
  <c r="CO143" i="7"/>
  <c r="CO59" i="7"/>
  <c r="DY59" i="7"/>
  <c r="CO196" i="7"/>
  <c r="DY196" i="7"/>
  <c r="CO165" i="7"/>
  <c r="DY165" i="7"/>
  <c r="DX199" i="7"/>
  <c r="CN199" i="7"/>
  <c r="CO177" i="7"/>
  <c r="DY177" i="7"/>
  <c r="CL163" i="7"/>
  <c r="DY138" i="7" l="1"/>
  <c r="DY100" i="7"/>
  <c r="CH100" i="7"/>
  <c r="CL100" i="7" s="1"/>
  <c r="AJ5" i="3"/>
  <c r="AJ15" i="3" s="1"/>
  <c r="AJ25" i="3" s="1"/>
  <c r="AY132" i="3"/>
  <c r="AY136" i="3" s="1"/>
  <c r="AY141" i="3" s="1"/>
  <c r="BN132" i="3"/>
  <c r="BN136" i="3" s="1"/>
  <c r="BN141" i="3" s="1"/>
  <c r="AL132" i="3"/>
  <c r="AL136" i="3" s="1"/>
  <c r="AL144" i="3" s="1"/>
  <c r="AF132" i="3"/>
  <c r="AF136" i="3" s="1"/>
  <c r="AF144" i="3" s="1"/>
  <c r="AW132" i="3"/>
  <c r="AW136" i="3" s="1"/>
  <c r="AW141" i="3" s="1"/>
  <c r="AR132" i="3"/>
  <c r="AR136" i="3" s="1"/>
  <c r="AR141" i="3" s="1"/>
  <c r="AQ132" i="3"/>
  <c r="AQ136" i="3" s="1"/>
  <c r="AQ141" i="3" s="1"/>
  <c r="AT132" i="3"/>
  <c r="AT136" i="3" s="1"/>
  <c r="AT141" i="3" s="1"/>
  <c r="AN132" i="3"/>
  <c r="AN136" i="3" s="1"/>
  <c r="AN144" i="3" s="1"/>
  <c r="BG132" i="3"/>
  <c r="BG136" i="3" s="1"/>
  <c r="BG141" i="3" s="1"/>
  <c r="Q53" i="3"/>
  <c r="AG5" i="3"/>
  <c r="AG15" i="3" s="1"/>
  <c r="AG26" i="3" s="1"/>
  <c r="BH132" i="3"/>
  <c r="BH136" i="3" s="1"/>
  <c r="BH141" i="3" s="1"/>
  <c r="AG132" i="3"/>
  <c r="AG136" i="3" s="1"/>
  <c r="AG141" i="3" s="1"/>
  <c r="AZ132" i="3"/>
  <c r="AZ136" i="3" s="1"/>
  <c r="AZ141" i="3" s="1"/>
  <c r="AE132" i="3"/>
  <c r="AE136" i="3" s="1"/>
  <c r="AE142" i="3" s="1"/>
  <c r="BL132" i="3"/>
  <c r="BL136" i="3" s="1"/>
  <c r="BL141" i="3" s="1"/>
  <c r="BB132" i="3"/>
  <c r="BB136" i="3" s="1"/>
  <c r="BB141" i="3" s="1"/>
  <c r="BD132" i="3"/>
  <c r="BD136" i="3" s="1"/>
  <c r="BD141" i="3" s="1"/>
  <c r="AI5" i="3"/>
  <c r="AI15" i="3" s="1"/>
  <c r="AI25" i="3" s="1"/>
  <c r="AO132" i="3"/>
  <c r="AO136" i="3" s="1"/>
  <c r="AO141" i="3" s="1"/>
  <c r="BE132" i="3"/>
  <c r="BE136" i="3" s="1"/>
  <c r="BE141" i="3" s="1"/>
  <c r="AS132" i="3"/>
  <c r="AS136" i="3" s="1"/>
  <c r="AS141" i="3" s="1"/>
  <c r="AM132" i="3"/>
  <c r="AM136" i="3" s="1"/>
  <c r="AM141" i="3" s="1"/>
  <c r="AF5" i="3"/>
  <c r="AF15" i="3" s="1"/>
  <c r="AF28" i="3" s="1"/>
  <c r="AK132" i="3"/>
  <c r="AK136" i="3" s="1"/>
  <c r="AK144" i="3" s="1"/>
  <c r="BF132" i="3"/>
  <c r="BF136" i="3" s="1"/>
  <c r="BF141" i="3" s="1"/>
  <c r="AU132" i="3"/>
  <c r="AU136" i="3" s="1"/>
  <c r="AU141" i="3" s="1"/>
  <c r="AJ132" i="3"/>
  <c r="AJ136" i="3" s="1"/>
  <c r="AJ141" i="3" s="1"/>
  <c r="BJ132" i="3"/>
  <c r="BJ136" i="3" s="1"/>
  <c r="BJ141" i="3" s="1"/>
  <c r="AH5" i="3"/>
  <c r="AH15" i="3" s="1"/>
  <c r="AH25" i="3" s="1"/>
  <c r="AP132" i="3"/>
  <c r="AP136" i="3" s="1"/>
  <c r="AP141" i="3" s="1"/>
  <c r="BM132" i="3"/>
  <c r="BM136" i="3" s="1"/>
  <c r="BM141" i="3" s="1"/>
  <c r="BA132" i="3"/>
  <c r="BA136" i="3" s="1"/>
  <c r="BA141" i="3" s="1"/>
  <c r="BC132" i="3"/>
  <c r="BC136" i="3" s="1"/>
  <c r="BC141" i="3" s="1"/>
  <c r="AH132" i="3"/>
  <c r="AH136" i="3" s="1"/>
  <c r="AH141" i="3" s="1"/>
  <c r="AV132" i="3"/>
  <c r="AV136" i="3" s="1"/>
  <c r="AV141" i="3" s="1"/>
  <c r="AK5" i="3"/>
  <c r="AK15" i="3" s="1"/>
  <c r="AK25" i="3" s="1"/>
  <c r="AI132" i="3"/>
  <c r="AI136" i="3" s="1"/>
  <c r="AI144" i="3" s="1"/>
  <c r="AX132" i="3"/>
  <c r="AX136" i="3" s="1"/>
  <c r="AX141" i="3" s="1"/>
  <c r="BI132" i="3"/>
  <c r="BI136" i="3" s="1"/>
  <c r="BI141" i="3" s="1"/>
  <c r="CH105" i="7"/>
  <c r="CL105" i="7" s="1"/>
  <c r="CH155" i="7"/>
  <c r="CL155" i="7" s="1"/>
  <c r="CN155" i="7" s="1"/>
  <c r="CP155" i="7" s="1"/>
  <c r="CS155" i="7" s="1"/>
  <c r="CT155" i="7" s="1"/>
  <c r="DY88" i="7"/>
  <c r="CH133" i="7"/>
  <c r="CL133" i="7" s="1"/>
  <c r="DX133" i="7" s="1"/>
  <c r="CH83" i="7"/>
  <c r="CL83" i="7" s="1"/>
  <c r="CN83" i="7" s="1"/>
  <c r="CP83" i="7" s="1"/>
  <c r="CS83" i="7" s="1"/>
  <c r="CT83" i="7" s="1"/>
  <c r="DY150" i="7"/>
  <c r="CO206" i="7"/>
  <c r="AA5" i="3"/>
  <c r="AB5" i="3" s="1"/>
  <c r="AA12" i="3" s="1"/>
  <c r="DY155" i="7"/>
  <c r="CN112" i="7"/>
  <c r="CQ112" i="7" s="1"/>
  <c r="DY156" i="7"/>
  <c r="DY110" i="7"/>
  <c r="CO109" i="7"/>
  <c r="DY133" i="7"/>
  <c r="D60" i="3"/>
  <c r="CO183" i="7"/>
  <c r="CI105" i="7"/>
  <c r="CM105" i="7" s="1"/>
  <c r="CO105" i="7" s="1"/>
  <c r="CO181" i="7"/>
  <c r="CI205" i="7"/>
  <c r="CM205" i="7" s="1"/>
  <c r="DY205" i="7" s="1"/>
  <c r="CO60" i="7"/>
  <c r="DY124" i="7"/>
  <c r="CO124" i="7"/>
  <c r="CH107" i="7"/>
  <c r="CL107" i="7" s="1"/>
  <c r="CN107" i="7" s="1"/>
  <c r="CP107" i="7" s="1"/>
  <c r="CS107" i="7" s="1"/>
  <c r="CT107" i="7" s="1"/>
  <c r="CH157" i="7"/>
  <c r="CL157" i="7" s="1"/>
  <c r="DX157" i="7" s="1"/>
  <c r="CH60" i="7"/>
  <c r="CL60" i="7" s="1"/>
  <c r="DX60" i="7" s="1"/>
  <c r="CO97" i="7"/>
  <c r="CO74" i="7"/>
  <c r="CO171" i="7"/>
  <c r="CH110" i="7"/>
  <c r="CL110" i="7" s="1"/>
  <c r="CN110" i="7" s="1"/>
  <c r="CQ110" i="7" s="1"/>
  <c r="DY153" i="7"/>
  <c r="DX162" i="7"/>
  <c r="CO157" i="7"/>
  <c r="CO134" i="7"/>
  <c r="CO71" i="7"/>
  <c r="DY81" i="7"/>
  <c r="CO147" i="7"/>
  <c r="DY116" i="7"/>
  <c r="CI184" i="7"/>
  <c r="CM184" i="7" s="1"/>
  <c r="CO184" i="7" s="1"/>
  <c r="DY66" i="7"/>
  <c r="CI84" i="7"/>
  <c r="CM84" i="7" s="1"/>
  <c r="DY84" i="7" s="1"/>
  <c r="CI198" i="7"/>
  <c r="CM198" i="7" s="1"/>
  <c r="CO198" i="7" s="1"/>
  <c r="DY159" i="7"/>
  <c r="CO203" i="7"/>
  <c r="CO98" i="7"/>
  <c r="CI148" i="7"/>
  <c r="CM148" i="7" s="1"/>
  <c r="DY148" i="7" s="1"/>
  <c r="DY107" i="7"/>
  <c r="AP135" i="3"/>
  <c r="AO139" i="3"/>
  <c r="AO140" i="3"/>
  <c r="AP158" i="3"/>
  <c r="AO163" i="3"/>
  <c r="AO162" i="3"/>
  <c r="AO185" i="3"/>
  <c r="AP181" i="3"/>
  <c r="AO186" i="3"/>
  <c r="BK141" i="3"/>
  <c r="DY70" i="7"/>
  <c r="CO193" i="7"/>
  <c r="CO170" i="7"/>
  <c r="CO93" i="7"/>
  <c r="CH98" i="7"/>
  <c r="CL98" i="7" s="1"/>
  <c r="CN98" i="7" s="1"/>
  <c r="CH198" i="7"/>
  <c r="CL198" i="7" s="1"/>
  <c r="CN198" i="7" s="1"/>
  <c r="CO125" i="7"/>
  <c r="CO129" i="7"/>
  <c r="DY173" i="7"/>
  <c r="DY139" i="7"/>
  <c r="CH80" i="7"/>
  <c r="CL80" i="7" s="1"/>
  <c r="DX80" i="7" s="1"/>
  <c r="CO189" i="7"/>
  <c r="DY179" i="7"/>
  <c r="CO75" i="7"/>
  <c r="CH180" i="7"/>
  <c r="CL180" i="7" s="1"/>
  <c r="DX180" i="7" s="1"/>
  <c r="DY164" i="7"/>
  <c r="CO114" i="7"/>
  <c r="CN148" i="7"/>
  <c r="CP148" i="7" s="1"/>
  <c r="CS148" i="7" s="1"/>
  <c r="CT148" i="7" s="1"/>
  <c r="CN118" i="7"/>
  <c r="CP118" i="7" s="1"/>
  <c r="CS118" i="7" s="1"/>
  <c r="CT118" i="7" s="1"/>
  <c r="DY123" i="7"/>
  <c r="CN101" i="7"/>
  <c r="CP101" i="7" s="1"/>
  <c r="CS101" i="7" s="1"/>
  <c r="CT101" i="7" s="1"/>
  <c r="CO86" i="7"/>
  <c r="CN168" i="7"/>
  <c r="CP168" i="7" s="1"/>
  <c r="CS168" i="7" s="1"/>
  <c r="CT168" i="7" s="1"/>
  <c r="CI80" i="7"/>
  <c r="CM80" i="7" s="1"/>
  <c r="CI130" i="7"/>
  <c r="CM130" i="7" s="1"/>
  <c r="CI180" i="7"/>
  <c r="CM180" i="7" s="1"/>
  <c r="CN169" i="7"/>
  <c r="CQ169" i="7" s="1"/>
  <c r="DX78" i="7"/>
  <c r="DY186" i="7"/>
  <c r="DY94" i="7"/>
  <c r="DX66" i="7"/>
  <c r="DX128" i="7"/>
  <c r="DY168" i="7"/>
  <c r="CO168" i="7"/>
  <c r="CO144" i="7"/>
  <c r="CN178" i="7"/>
  <c r="CP178" i="7" s="1"/>
  <c r="CS178" i="7" s="1"/>
  <c r="CT178" i="7" s="1"/>
  <c r="CO68" i="7"/>
  <c r="CR68" i="7" s="1"/>
  <c r="CU68" i="7" s="1"/>
  <c r="DY68" i="7"/>
  <c r="DY128" i="7"/>
  <c r="CO128" i="7"/>
  <c r="CR128" i="7" s="1"/>
  <c r="CU128" i="7" s="1"/>
  <c r="DY118" i="7"/>
  <c r="CO118" i="7"/>
  <c r="CO178" i="7"/>
  <c r="DY178" i="7"/>
  <c r="CN82" i="7"/>
  <c r="CQ82" i="7" s="1"/>
  <c r="CN166" i="7"/>
  <c r="CQ166" i="7" s="1"/>
  <c r="CN69" i="7"/>
  <c r="CQ69" i="7" s="1"/>
  <c r="CN116" i="7"/>
  <c r="CP116" i="7" s="1"/>
  <c r="CS116" i="7" s="1"/>
  <c r="CT116" i="7" s="1"/>
  <c r="DX182" i="7"/>
  <c r="DX201" i="7"/>
  <c r="DX132" i="7"/>
  <c r="CN151" i="7"/>
  <c r="CP151" i="7" s="1"/>
  <c r="CS151" i="7" s="1"/>
  <c r="CT151" i="7" s="1"/>
  <c r="DY99" i="7"/>
  <c r="CO99" i="7"/>
  <c r="CR99" i="7" s="1"/>
  <c r="CO199" i="7"/>
  <c r="CR199" i="7" s="1"/>
  <c r="CU199" i="7" s="1"/>
  <c r="DY199" i="7"/>
  <c r="DY149" i="7"/>
  <c r="CO149" i="7"/>
  <c r="CR149" i="7" s="1"/>
  <c r="CO195" i="7"/>
  <c r="DY195" i="7"/>
  <c r="CN119" i="7"/>
  <c r="CQ119" i="7" s="1"/>
  <c r="DY145" i="7"/>
  <c r="CO145" i="7"/>
  <c r="CO95" i="7"/>
  <c r="DY95" i="7"/>
  <c r="CI142" i="7"/>
  <c r="CM142" i="7" s="1"/>
  <c r="CI92" i="7"/>
  <c r="CM92" i="7" s="1"/>
  <c r="CI192" i="7"/>
  <c r="CM192" i="7" s="1"/>
  <c r="CH92" i="7"/>
  <c r="CL92" i="7" s="1"/>
  <c r="DX92" i="7" s="1"/>
  <c r="CH142" i="7"/>
  <c r="CL142" i="7" s="1"/>
  <c r="CN142" i="7" s="1"/>
  <c r="CH192" i="7"/>
  <c r="CL192" i="7" s="1"/>
  <c r="CN192" i="7" s="1"/>
  <c r="CQ162" i="7"/>
  <c r="DY82" i="7"/>
  <c r="CO82" i="7"/>
  <c r="CO132" i="7"/>
  <c r="CR132" i="7" s="1"/>
  <c r="CU132" i="7" s="1"/>
  <c r="DY132" i="7"/>
  <c r="CO182" i="7"/>
  <c r="CR182" i="7" s="1"/>
  <c r="CU182" i="7" s="1"/>
  <c r="DY182" i="7"/>
  <c r="CR62" i="7"/>
  <c r="CU62" i="7" s="1"/>
  <c r="CP162" i="7"/>
  <c r="CS162" i="7" s="1"/>
  <c r="CT162" i="7" s="1"/>
  <c r="CP62" i="7"/>
  <c r="CS62" i="7" s="1"/>
  <c r="CT62" i="7" s="1"/>
  <c r="CQ201" i="7"/>
  <c r="CR201" i="7"/>
  <c r="CU201" i="7" s="1"/>
  <c r="DY169" i="7"/>
  <c r="CO169" i="7"/>
  <c r="CO119" i="7"/>
  <c r="DY119" i="7"/>
  <c r="CQ149" i="7"/>
  <c r="DY69" i="7"/>
  <c r="CO69" i="7"/>
  <c r="CQ128" i="7"/>
  <c r="DX202" i="7"/>
  <c r="CN202" i="7"/>
  <c r="CN102" i="7"/>
  <c r="CQ102" i="7" s="1"/>
  <c r="DX102" i="7"/>
  <c r="CQ132" i="7"/>
  <c r="DY202" i="7"/>
  <c r="CO202" i="7"/>
  <c r="DX152" i="7"/>
  <c r="CN152" i="7"/>
  <c r="CO152" i="7"/>
  <c r="DY152" i="7"/>
  <c r="CQ199" i="7"/>
  <c r="CP132" i="7"/>
  <c r="CS132" i="7" s="1"/>
  <c r="CT132" i="7" s="1"/>
  <c r="CO102" i="7"/>
  <c r="DY102" i="7"/>
  <c r="DX163" i="7"/>
  <c r="CN163" i="7"/>
  <c r="CR163" i="7" s="1"/>
  <c r="CO72" i="7"/>
  <c r="DY72" i="7"/>
  <c r="CN95" i="7"/>
  <c r="DX95" i="7"/>
  <c r="CN57" i="7"/>
  <c r="CR57" i="7" s="1"/>
  <c r="DX57" i="7"/>
  <c r="CN196" i="7"/>
  <c r="CR196" i="7" s="1"/>
  <c r="DX196" i="7"/>
  <c r="CN138" i="7"/>
  <c r="CQ138" i="7" s="1"/>
  <c r="DX138" i="7"/>
  <c r="CN131" i="7"/>
  <c r="CR131" i="7" s="1"/>
  <c r="DX131" i="7"/>
  <c r="CN135" i="7"/>
  <c r="CP135" i="7" s="1"/>
  <c r="CS135" i="7" s="1"/>
  <c r="CT135" i="7" s="1"/>
  <c r="DX135" i="7"/>
  <c r="DX130" i="7"/>
  <c r="CN130" i="7"/>
  <c r="CP130" i="7" s="1"/>
  <c r="CS130" i="7" s="1"/>
  <c r="CT130" i="7" s="1"/>
  <c r="DX188" i="7"/>
  <c r="CN188" i="7"/>
  <c r="CP188" i="7" s="1"/>
  <c r="CS188" i="7" s="1"/>
  <c r="CT188" i="7" s="1"/>
  <c r="CN176" i="7"/>
  <c r="CQ176" i="7" s="1"/>
  <c r="DX176" i="7"/>
  <c r="DX73" i="7"/>
  <c r="CN73" i="7"/>
  <c r="CR73" i="7" s="1"/>
  <c r="CN175" i="7"/>
  <c r="CR175" i="7" s="1"/>
  <c r="DX175" i="7"/>
  <c r="CN105" i="7"/>
  <c r="DX105" i="7"/>
  <c r="CN158" i="7"/>
  <c r="CQ158" i="7" s="1"/>
  <c r="DX158" i="7"/>
  <c r="CN111" i="7"/>
  <c r="CR111" i="7" s="1"/>
  <c r="DX111" i="7"/>
  <c r="CN186" i="7"/>
  <c r="CR186" i="7" s="1"/>
  <c r="DX186" i="7"/>
  <c r="CN195" i="7"/>
  <c r="DX195" i="7"/>
  <c r="DX81" i="7"/>
  <c r="CN81" i="7"/>
  <c r="CQ81" i="7" s="1"/>
  <c r="DX156" i="7"/>
  <c r="CN156" i="7"/>
  <c r="CP156" i="7" s="1"/>
  <c r="CS156" i="7" s="1"/>
  <c r="CT156" i="7" s="1"/>
  <c r="CN145" i="7"/>
  <c r="CP145" i="7" s="1"/>
  <c r="CS145" i="7" s="1"/>
  <c r="CT145" i="7" s="1"/>
  <c r="DX145" i="7"/>
  <c r="CO172" i="7"/>
  <c r="DY172" i="7"/>
  <c r="CN181" i="7"/>
  <c r="CQ181" i="7" s="1"/>
  <c r="DX181" i="7"/>
  <c r="CN206" i="7"/>
  <c r="DX206" i="7"/>
  <c r="DX143" i="7"/>
  <c r="CN143" i="7"/>
  <c r="DX174" i="7"/>
  <c r="CN174" i="7"/>
  <c r="CQ174" i="7" s="1"/>
  <c r="CN185" i="7"/>
  <c r="CQ185" i="7" s="1"/>
  <c r="DX185" i="7"/>
  <c r="CN197" i="7"/>
  <c r="CR197" i="7" s="1"/>
  <c r="DX197" i="7"/>
  <c r="CN141" i="7"/>
  <c r="CP141" i="7" s="1"/>
  <c r="CS141" i="7" s="1"/>
  <c r="CT141" i="7" s="1"/>
  <c r="DX141" i="7"/>
  <c r="CN126" i="7"/>
  <c r="CQ126" i="7" s="1"/>
  <c r="DX126" i="7"/>
  <c r="CN123" i="7"/>
  <c r="DX123" i="7"/>
  <c r="CN121" i="7"/>
  <c r="DX121" i="7"/>
  <c r="DX161" i="7"/>
  <c r="CN161" i="7"/>
  <c r="CR161" i="7" s="1"/>
  <c r="DX86" i="7"/>
  <c r="CN86" i="7"/>
  <c r="CP86" i="7" s="1"/>
  <c r="CS86" i="7" s="1"/>
  <c r="CT86" i="7" s="1"/>
  <c r="CN164" i="7"/>
  <c r="CR164" i="7" s="1"/>
  <c r="DX164" i="7"/>
  <c r="DX150" i="7"/>
  <c r="CN150" i="7"/>
  <c r="CP150" i="7" s="1"/>
  <c r="CS150" i="7" s="1"/>
  <c r="CT150" i="7" s="1"/>
  <c r="CL172" i="7"/>
  <c r="CN140" i="7"/>
  <c r="CQ140" i="7" s="1"/>
  <c r="DX140" i="7"/>
  <c r="CN190" i="7"/>
  <c r="CQ190" i="7" s="1"/>
  <c r="DX190" i="7"/>
  <c r="CN115" i="7"/>
  <c r="CP115" i="7" s="1"/>
  <c r="CS115" i="7" s="1"/>
  <c r="CT115" i="7" s="1"/>
  <c r="DX115" i="7"/>
  <c r="CN61" i="7"/>
  <c r="DX61" i="7"/>
  <c r="CN136" i="7"/>
  <c r="DX136" i="7"/>
  <c r="CN146" i="7"/>
  <c r="CQ146" i="7" s="1"/>
  <c r="DX146" i="7"/>
  <c r="DX88" i="7"/>
  <c r="CN88" i="7"/>
  <c r="CQ88" i="7" s="1"/>
  <c r="CN177" i="7"/>
  <c r="CQ177" i="7" s="1"/>
  <c r="DX177" i="7"/>
  <c r="CN63" i="7"/>
  <c r="DX63" i="7"/>
  <c r="DX124" i="7"/>
  <c r="CN124" i="7"/>
  <c r="CP124" i="7" s="1"/>
  <c r="CS124" i="7" s="1"/>
  <c r="CT124" i="7" s="1"/>
  <c r="DX106" i="7"/>
  <c r="CN106" i="7"/>
  <c r="CN193" i="7"/>
  <c r="DX193" i="7"/>
  <c r="CN114" i="7"/>
  <c r="DX114" i="7"/>
  <c r="CN134" i="7"/>
  <c r="CP134" i="7" s="1"/>
  <c r="CS134" i="7" s="1"/>
  <c r="CT134" i="7" s="1"/>
  <c r="DX134" i="7"/>
  <c r="CN97" i="7"/>
  <c r="CQ97" i="7" s="1"/>
  <c r="DX97" i="7"/>
  <c r="CN64" i="7"/>
  <c r="CQ64" i="7" s="1"/>
  <c r="DX64" i="7"/>
  <c r="DX84" i="7"/>
  <c r="CN84" i="7"/>
  <c r="CP84" i="7" s="1"/>
  <c r="CS84" i="7" s="1"/>
  <c r="CT84" i="7" s="1"/>
  <c r="DX187" i="7"/>
  <c r="CN187" i="7"/>
  <c r="CR187" i="7" s="1"/>
  <c r="DX159" i="7"/>
  <c r="CN159" i="7"/>
  <c r="CR159" i="7" s="1"/>
  <c r="CN120" i="7"/>
  <c r="CQ120" i="7" s="1"/>
  <c r="DX120" i="7"/>
  <c r="CN79" i="7"/>
  <c r="CP79" i="7" s="1"/>
  <c r="CS79" i="7" s="1"/>
  <c r="CT79" i="7" s="1"/>
  <c r="DX79" i="7"/>
  <c r="CL122" i="7"/>
  <c r="DX153" i="7"/>
  <c r="CN153" i="7"/>
  <c r="CQ153" i="7" s="1"/>
  <c r="DX173" i="7"/>
  <c r="CN173" i="7"/>
  <c r="CR173" i="7" s="1"/>
  <c r="DX179" i="7"/>
  <c r="CN179" i="7"/>
  <c r="CR179" i="7" s="1"/>
  <c r="DX67" i="7"/>
  <c r="CN67" i="7"/>
  <c r="CQ67" i="7" s="1"/>
  <c r="DX127" i="7"/>
  <c r="CN127" i="7"/>
  <c r="CQ127" i="7" s="1"/>
  <c r="CN129" i="7"/>
  <c r="DX129" i="7"/>
  <c r="DX167" i="7"/>
  <c r="CN167" i="7"/>
  <c r="CR167" i="7" s="1"/>
  <c r="CN200" i="7"/>
  <c r="CQ200" i="7" s="1"/>
  <c r="DX200" i="7"/>
  <c r="DX75" i="7"/>
  <c r="CN75" i="7"/>
  <c r="CQ75" i="7" s="1"/>
  <c r="CN125" i="7"/>
  <c r="DX125" i="7"/>
  <c r="DX113" i="7"/>
  <c r="CN113" i="7"/>
  <c r="CP113" i="7" s="1"/>
  <c r="CS113" i="7" s="1"/>
  <c r="CT113" i="7" s="1"/>
  <c r="DX170" i="7"/>
  <c r="CN170" i="7"/>
  <c r="CQ170" i="7" s="1"/>
  <c r="DX171" i="7"/>
  <c r="CN171" i="7"/>
  <c r="CP171" i="7" s="1"/>
  <c r="CS171" i="7" s="1"/>
  <c r="CT171" i="7" s="1"/>
  <c r="CN104" i="7"/>
  <c r="CR104" i="7" s="1"/>
  <c r="DX104" i="7"/>
  <c r="DX144" i="7"/>
  <c r="CN144" i="7"/>
  <c r="CP144" i="7" s="1"/>
  <c r="CS144" i="7" s="1"/>
  <c r="CT144" i="7" s="1"/>
  <c r="DX85" i="7"/>
  <c r="CN85" i="7"/>
  <c r="CP85" i="7" s="1"/>
  <c r="CS85" i="7" s="1"/>
  <c r="CT85" i="7" s="1"/>
  <c r="CN87" i="7"/>
  <c r="CP87" i="7" s="1"/>
  <c r="CS87" i="7" s="1"/>
  <c r="CT87" i="7" s="1"/>
  <c r="DX87" i="7"/>
  <c r="DX205" i="7"/>
  <c r="CN205" i="7"/>
  <c r="CQ205" i="7" s="1"/>
  <c r="CL72" i="7"/>
  <c r="DX59" i="7"/>
  <c r="CN59" i="7"/>
  <c r="CN160" i="7"/>
  <c r="CP160" i="7" s="1"/>
  <c r="CS160" i="7" s="1"/>
  <c r="CT160" i="7" s="1"/>
  <c r="DX160" i="7"/>
  <c r="CN191" i="7"/>
  <c r="CR191" i="7" s="1"/>
  <c r="DX191" i="7"/>
  <c r="CQ68" i="7"/>
  <c r="CR66" i="7"/>
  <c r="CR78" i="7"/>
  <c r="CQ99" i="7"/>
  <c r="DX89" i="7"/>
  <c r="CN89" i="7"/>
  <c r="CR89" i="7" s="1"/>
  <c r="DX117" i="7"/>
  <c r="CN117" i="7"/>
  <c r="CR117" i="7" s="1"/>
  <c r="CN70" i="7"/>
  <c r="CQ70" i="7" s="1"/>
  <c r="DX70" i="7"/>
  <c r="CN94" i="7"/>
  <c r="CR94" i="7" s="1"/>
  <c r="DX94" i="7"/>
  <c r="DX77" i="7"/>
  <c r="CN77" i="7"/>
  <c r="CP77" i="7" s="1"/>
  <c r="CS77" i="7" s="1"/>
  <c r="CT77" i="7" s="1"/>
  <c r="CN108" i="7"/>
  <c r="DX108" i="7"/>
  <c r="CN58" i="7"/>
  <c r="CP58" i="7" s="1"/>
  <c r="CS58" i="7" s="1"/>
  <c r="CT58" i="7" s="1"/>
  <c r="DX58" i="7"/>
  <c r="DX74" i="7"/>
  <c r="CN74" i="7"/>
  <c r="CP74" i="7" s="1"/>
  <c r="CS74" i="7" s="1"/>
  <c r="CT74" i="7" s="1"/>
  <c r="CN184" i="7"/>
  <c r="CP184" i="7" s="1"/>
  <c r="CS184" i="7" s="1"/>
  <c r="CT184" i="7" s="1"/>
  <c r="DX184" i="7"/>
  <c r="CN133" i="7"/>
  <c r="CP133" i="7" s="1"/>
  <c r="CS133" i="7" s="1"/>
  <c r="CT133" i="7" s="1"/>
  <c r="CN147" i="7"/>
  <c r="CP147" i="7" s="1"/>
  <c r="CS147" i="7" s="1"/>
  <c r="CT147" i="7" s="1"/>
  <c r="DX147" i="7"/>
  <c r="DX91" i="7"/>
  <c r="CN91" i="7"/>
  <c r="CR91" i="7" s="1"/>
  <c r="CN76" i="7"/>
  <c r="CP76" i="7" s="1"/>
  <c r="CS76" i="7" s="1"/>
  <c r="CT76" i="7" s="1"/>
  <c r="DX76" i="7"/>
  <c r="CN71" i="7"/>
  <c r="CP71" i="7" s="1"/>
  <c r="CS71" i="7" s="1"/>
  <c r="CT71" i="7" s="1"/>
  <c r="DX71" i="7"/>
  <c r="CN204" i="7"/>
  <c r="CR204" i="7" s="1"/>
  <c r="DX204" i="7"/>
  <c r="CN139" i="7"/>
  <c r="CP139" i="7" s="1"/>
  <c r="CS139" i="7" s="1"/>
  <c r="CT139" i="7" s="1"/>
  <c r="DX139" i="7"/>
  <c r="DX137" i="7"/>
  <c r="CN137" i="7"/>
  <c r="CP137" i="7" s="1"/>
  <c r="CS137" i="7" s="1"/>
  <c r="CT137" i="7" s="1"/>
  <c r="CN203" i="7"/>
  <c r="CQ203" i="7" s="1"/>
  <c r="DX203" i="7"/>
  <c r="CN189" i="7"/>
  <c r="DX189" i="7"/>
  <c r="CP99" i="7"/>
  <c r="CS99" i="7" s="1"/>
  <c r="CT99" i="7" s="1"/>
  <c r="DY122" i="7"/>
  <c r="CO122" i="7"/>
  <c r="DX96" i="7"/>
  <c r="CN96" i="7"/>
  <c r="CR96" i="7" s="1"/>
  <c r="DX194" i="7"/>
  <c r="CN194" i="7"/>
  <c r="CR194" i="7" s="1"/>
  <c r="CN183" i="7"/>
  <c r="CQ183" i="7" s="1"/>
  <c r="DX183" i="7"/>
  <c r="DX90" i="7"/>
  <c r="CN90" i="7"/>
  <c r="CR90" i="7" s="1"/>
  <c r="CN165" i="7"/>
  <c r="CQ165" i="7" s="1"/>
  <c r="DX165" i="7"/>
  <c r="CN103" i="7"/>
  <c r="CR103" i="7" s="1"/>
  <c r="DX103" i="7"/>
  <c r="CN154" i="7"/>
  <c r="DX154" i="7"/>
  <c r="CN109" i="7"/>
  <c r="CP109" i="7" s="1"/>
  <c r="CS109" i="7" s="1"/>
  <c r="CT109" i="7" s="1"/>
  <c r="DX109" i="7"/>
  <c r="DX65" i="7"/>
  <c r="CN65" i="7"/>
  <c r="CQ65" i="7" s="1"/>
  <c r="DX100" i="7"/>
  <c r="CN100" i="7"/>
  <c r="CR100" i="7" s="1"/>
  <c r="CN93" i="7"/>
  <c r="CQ93" i="7" s="1"/>
  <c r="DX93" i="7"/>
  <c r="CP199" i="7"/>
  <c r="CS199" i="7" s="1"/>
  <c r="CT199" i="7" s="1"/>
  <c r="CP68" i="7"/>
  <c r="CS68" i="7" s="1"/>
  <c r="CT68" i="7" s="1"/>
  <c r="CQ66" i="7"/>
  <c r="CP128" i="7"/>
  <c r="CS128" i="7" s="1"/>
  <c r="CT128" i="7" s="1"/>
  <c r="CQ78" i="7"/>
  <c r="CP182" i="7"/>
  <c r="CS182" i="7" s="1"/>
  <c r="CT182" i="7" s="1"/>
  <c r="DX155" i="7" l="1"/>
  <c r="AG25" i="3"/>
  <c r="AG27" i="3" s="1"/>
  <c r="AF142" i="3"/>
  <c r="AE141" i="3"/>
  <c r="AE143" i="3" s="1"/>
  <c r="AM144" i="3"/>
  <c r="AM142" i="3"/>
  <c r="AM143" i="3" s="1"/>
  <c r="AH144" i="3"/>
  <c r="AF141" i="3"/>
  <c r="AG28" i="3"/>
  <c r="AJ142" i="3"/>
  <c r="AJ143" i="3" s="1"/>
  <c r="AK141" i="3"/>
  <c r="AJ144" i="3"/>
  <c r="AI142" i="3"/>
  <c r="AI141" i="3"/>
  <c r="AL142" i="3"/>
  <c r="AL141" i="3"/>
  <c r="AK142" i="3"/>
  <c r="AH142" i="3"/>
  <c r="AH143" i="3" s="1"/>
  <c r="AF25" i="3"/>
  <c r="AE144" i="3"/>
  <c r="AN142" i="3"/>
  <c r="AN141" i="3"/>
  <c r="AG142" i="3"/>
  <c r="AG143" i="3" s="1"/>
  <c r="AG144" i="3"/>
  <c r="AO142" i="3"/>
  <c r="AO143" i="3" s="1"/>
  <c r="AF26" i="3"/>
  <c r="DX83" i="7"/>
  <c r="CR112" i="7"/>
  <c r="CU112" i="7" s="1"/>
  <c r="CP112" i="7"/>
  <c r="CS112" i="7" s="1"/>
  <c r="CT112" i="7" s="1"/>
  <c r="AO144" i="3"/>
  <c r="CV162" i="7"/>
  <c r="AA96" i="3"/>
  <c r="AB96" i="3" s="1"/>
  <c r="AA97" i="3"/>
  <c r="AB97" i="3" s="1"/>
  <c r="AA91" i="3"/>
  <c r="AB91" i="3" s="1"/>
  <c r="AA92" i="3"/>
  <c r="AB92" i="3" s="1"/>
  <c r="AA75" i="3"/>
  <c r="AB75" i="3" s="1"/>
  <c r="AA76" i="3"/>
  <c r="AB76" i="3" s="1"/>
  <c r="AA70" i="3"/>
  <c r="AB70" i="3" s="1"/>
  <c r="AA71" i="3"/>
  <c r="AB71" i="3" s="1"/>
  <c r="AA54" i="3"/>
  <c r="AB54" i="3" s="1"/>
  <c r="AA55" i="3"/>
  <c r="AB55" i="3" s="1"/>
  <c r="AA49" i="3"/>
  <c r="AB49" i="3" s="1"/>
  <c r="AA50" i="3"/>
  <c r="AB50" i="3" s="1"/>
  <c r="AM5" i="3"/>
  <c r="AM15" i="3" s="1"/>
  <c r="AM28" i="3" s="1"/>
  <c r="BN155" i="3"/>
  <c r="BN159" i="3" s="1"/>
  <c r="BN164" i="3" s="1"/>
  <c r="BF155" i="3"/>
  <c r="BF159" i="3" s="1"/>
  <c r="BF164" i="3" s="1"/>
  <c r="AX155" i="3"/>
  <c r="AX159" i="3" s="1"/>
  <c r="AX164" i="3" s="1"/>
  <c r="AP155" i="3"/>
  <c r="AP159" i="3" s="1"/>
  <c r="AP164" i="3" s="1"/>
  <c r="AH155" i="3"/>
  <c r="AH159" i="3" s="1"/>
  <c r="AH167" i="3" s="1"/>
  <c r="BE109" i="3"/>
  <c r="BE113" i="3" s="1"/>
  <c r="BE119" i="3" s="1"/>
  <c r="BI86" i="3"/>
  <c r="BI90" i="3" s="1"/>
  <c r="BI96" i="3" s="1"/>
  <c r="BA86" i="3"/>
  <c r="BA90" i="3" s="1"/>
  <c r="BA96" i="3" s="1"/>
  <c r="BF63" i="3"/>
  <c r="BF67" i="3" s="1"/>
  <c r="BF72" i="3" s="1"/>
  <c r="BI40" i="3"/>
  <c r="BI44" i="3" s="1"/>
  <c r="BI49" i="3" s="1"/>
  <c r="AY40" i="3"/>
  <c r="AY44" i="3" s="1"/>
  <c r="AY49" i="3" s="1"/>
  <c r="BD5" i="3"/>
  <c r="BD15" i="3" s="1"/>
  <c r="BD25" i="3" s="1"/>
  <c r="AX40" i="3"/>
  <c r="AX44" i="3" s="1"/>
  <c r="AX52" i="3" s="1"/>
  <c r="BD155" i="3"/>
  <c r="BD159" i="3" s="1"/>
  <c r="BD164" i="3" s="1"/>
  <c r="AN155" i="3"/>
  <c r="AN159" i="3" s="1"/>
  <c r="AN165" i="3" s="1"/>
  <c r="AF155" i="3"/>
  <c r="AF159" i="3" s="1"/>
  <c r="AF167" i="3" s="1"/>
  <c r="AY86" i="3"/>
  <c r="AY90" i="3" s="1"/>
  <c r="AY95" i="3" s="1"/>
  <c r="BG40" i="3"/>
  <c r="BG44" i="3" s="1"/>
  <c r="BG49" i="3" s="1"/>
  <c r="BK155" i="3"/>
  <c r="BK159" i="3" s="1"/>
  <c r="BK164" i="3" s="1"/>
  <c r="AU155" i="3"/>
  <c r="AU159" i="3" s="1"/>
  <c r="AU164" i="3" s="1"/>
  <c r="BB109" i="3"/>
  <c r="BB113" i="3" s="1"/>
  <c r="BB118" i="3" s="1"/>
  <c r="BC63" i="3"/>
  <c r="BC67" i="3" s="1"/>
  <c r="BC72" i="3" s="1"/>
  <c r="BH63" i="3"/>
  <c r="BH67" i="3" s="1"/>
  <c r="BH72" i="3" s="1"/>
  <c r="AQ155" i="3"/>
  <c r="AQ159" i="3" s="1"/>
  <c r="AQ164" i="3" s="1"/>
  <c r="BB86" i="3"/>
  <c r="BB90" i="3" s="1"/>
  <c r="BB95" i="3" s="1"/>
  <c r="BM155" i="3"/>
  <c r="BM159" i="3" s="1"/>
  <c r="BM164" i="3" s="1"/>
  <c r="BE155" i="3"/>
  <c r="BE159" i="3" s="1"/>
  <c r="BE164" i="3" s="1"/>
  <c r="AW155" i="3"/>
  <c r="AW159" i="3" s="1"/>
  <c r="AW164" i="3" s="1"/>
  <c r="AO155" i="3"/>
  <c r="AO159" i="3" s="1"/>
  <c r="AO165" i="3" s="1"/>
  <c r="AG155" i="3"/>
  <c r="AG159" i="3" s="1"/>
  <c r="AG165" i="3" s="1"/>
  <c r="BD109" i="3"/>
  <c r="BD113" i="3" s="1"/>
  <c r="BD118" i="3" s="1"/>
  <c r="BH86" i="3"/>
  <c r="BH90" i="3" s="1"/>
  <c r="BH96" i="3" s="1"/>
  <c r="AZ86" i="3"/>
  <c r="AZ90" i="3" s="1"/>
  <c r="AZ95" i="3" s="1"/>
  <c r="BE63" i="3"/>
  <c r="BE67" i="3" s="1"/>
  <c r="BE72" i="3" s="1"/>
  <c r="BH40" i="3"/>
  <c r="BH44" i="3" s="1"/>
  <c r="BH49" i="3" s="1"/>
  <c r="AX5" i="3"/>
  <c r="AX15" i="3" s="1"/>
  <c r="AX28" i="3" s="1"/>
  <c r="BC109" i="3"/>
  <c r="BC113" i="3" s="1"/>
  <c r="BC121" i="3" s="1"/>
  <c r="BD63" i="3"/>
  <c r="BD67" i="3" s="1"/>
  <c r="BD72" i="3" s="1"/>
  <c r="BJ5" i="3"/>
  <c r="BJ15" i="3" s="1"/>
  <c r="BJ26" i="3" s="1"/>
  <c r="BC155" i="3"/>
  <c r="BC159" i="3" s="1"/>
  <c r="BC164" i="3" s="1"/>
  <c r="AM155" i="3"/>
  <c r="AM159" i="3" s="1"/>
  <c r="AM164" i="3" s="1"/>
  <c r="BF86" i="3"/>
  <c r="BF90" i="3" s="1"/>
  <c r="BF98" i="3" s="1"/>
  <c r="BI5" i="3"/>
  <c r="BI15" i="3" s="1"/>
  <c r="BI25" i="3" s="1"/>
  <c r="BJ155" i="3"/>
  <c r="BJ159" i="3" s="1"/>
  <c r="BJ164" i="3" s="1"/>
  <c r="AT155" i="3"/>
  <c r="AT159" i="3" s="1"/>
  <c r="AT164" i="3" s="1"/>
  <c r="BI109" i="3"/>
  <c r="BI113" i="3" s="1"/>
  <c r="BI119" i="3" s="1"/>
  <c r="BE86" i="3"/>
  <c r="BE90" i="3" s="1"/>
  <c r="BE95" i="3" s="1"/>
  <c r="BJ63" i="3"/>
  <c r="BJ67" i="3" s="1"/>
  <c r="BJ72" i="3" s="1"/>
  <c r="BE40" i="3"/>
  <c r="BE44" i="3" s="1"/>
  <c r="BE49" i="3" s="1"/>
  <c r="BG5" i="3"/>
  <c r="BG15" i="3" s="1"/>
  <c r="BG25" i="3" s="1"/>
  <c r="AZ155" i="3"/>
  <c r="AZ159" i="3" s="1"/>
  <c r="AZ164" i="3" s="1"/>
  <c r="AJ155" i="3"/>
  <c r="AJ159" i="3" s="1"/>
  <c r="AJ167" i="3" s="1"/>
  <c r="AY109" i="3"/>
  <c r="AY113" i="3" s="1"/>
  <c r="AY119" i="3" s="1"/>
  <c r="BC40" i="3"/>
  <c r="BC44" i="3" s="1"/>
  <c r="BC49" i="3" s="1"/>
  <c r="BF5" i="3"/>
  <c r="BF15" i="3" s="1"/>
  <c r="BF25" i="3" s="1"/>
  <c r="BF109" i="3"/>
  <c r="BF113" i="3" s="1"/>
  <c r="BF118" i="3" s="1"/>
  <c r="BG63" i="3"/>
  <c r="BG67" i="3" s="1"/>
  <c r="BG72" i="3" s="1"/>
  <c r="BE5" i="3"/>
  <c r="BE15" i="3" s="1"/>
  <c r="BE25" i="3" s="1"/>
  <c r="BL155" i="3"/>
  <c r="BL159" i="3" s="1"/>
  <c r="BL164" i="3" s="1"/>
  <c r="AV155" i="3"/>
  <c r="AV159" i="3" s="1"/>
  <c r="AV164" i="3" s="1"/>
  <c r="BG86" i="3"/>
  <c r="BG90" i="3" s="1"/>
  <c r="BG95" i="3" s="1"/>
  <c r="AX86" i="3"/>
  <c r="AX90" i="3" s="1"/>
  <c r="AX98" i="3" s="1"/>
  <c r="BF40" i="3"/>
  <c r="BF44" i="3" s="1"/>
  <c r="BF49" i="3" s="1"/>
  <c r="BB155" i="3"/>
  <c r="BB159" i="3" s="1"/>
  <c r="BB164" i="3" s="1"/>
  <c r="AL155" i="3"/>
  <c r="AL159" i="3" s="1"/>
  <c r="AL165" i="3" s="1"/>
  <c r="BA109" i="3"/>
  <c r="BA113" i="3" s="1"/>
  <c r="BA119" i="3" s="1"/>
  <c r="BB63" i="3"/>
  <c r="BB67" i="3" s="1"/>
  <c r="BB72" i="3" s="1"/>
  <c r="BH5" i="3"/>
  <c r="BH15" i="3" s="1"/>
  <c r="BH25" i="3" s="1"/>
  <c r="AR155" i="3"/>
  <c r="AR159" i="3" s="1"/>
  <c r="AR164" i="3" s="1"/>
  <c r="BC86" i="3"/>
  <c r="BC90" i="3" s="1"/>
  <c r="BC98" i="3" s="1"/>
  <c r="BG155" i="3"/>
  <c r="BG159" i="3" s="1"/>
  <c r="BG164" i="3" s="1"/>
  <c r="AX109" i="3"/>
  <c r="AX113" i="3" s="1"/>
  <c r="AX118" i="3" s="1"/>
  <c r="AE155" i="3"/>
  <c r="AE159" i="3" s="1"/>
  <c r="AE164" i="3" s="1"/>
  <c r="AY155" i="3"/>
  <c r="AY159" i="3" s="1"/>
  <c r="AY164" i="3" s="1"/>
  <c r="BJ40" i="3"/>
  <c r="BJ44" i="3" s="1"/>
  <c r="BJ49" i="3" s="1"/>
  <c r="BI155" i="3"/>
  <c r="BI159" i="3" s="1"/>
  <c r="BI164" i="3" s="1"/>
  <c r="BA155" i="3"/>
  <c r="BA159" i="3" s="1"/>
  <c r="BA164" i="3" s="1"/>
  <c r="AS155" i="3"/>
  <c r="AS159" i="3" s="1"/>
  <c r="AS164" i="3" s="1"/>
  <c r="AK155" i="3"/>
  <c r="AK159" i="3" s="1"/>
  <c r="AK167" i="3" s="1"/>
  <c r="BH109" i="3"/>
  <c r="BH113" i="3" s="1"/>
  <c r="BH118" i="3" s="1"/>
  <c r="AZ109" i="3"/>
  <c r="AZ113" i="3" s="1"/>
  <c r="AZ118" i="3" s="1"/>
  <c r="BD86" i="3"/>
  <c r="BD90" i="3" s="1"/>
  <c r="BD98" i="3" s="1"/>
  <c r="BI63" i="3"/>
  <c r="BI67" i="3" s="1"/>
  <c r="BI72" i="3" s="1"/>
  <c r="AY63" i="3"/>
  <c r="AY67" i="3" s="1"/>
  <c r="AY72" i="3" s="1"/>
  <c r="BD40" i="3"/>
  <c r="BD44" i="3" s="1"/>
  <c r="BD49" i="3" s="1"/>
  <c r="BH155" i="3"/>
  <c r="BH159" i="3" s="1"/>
  <c r="BH164" i="3" s="1"/>
  <c r="BG109" i="3"/>
  <c r="BG113" i="3" s="1"/>
  <c r="BG118" i="3" s="1"/>
  <c r="AX63" i="3"/>
  <c r="AX67" i="3" s="1"/>
  <c r="AX75" i="3" s="1"/>
  <c r="AI155" i="3"/>
  <c r="AI159" i="3" s="1"/>
  <c r="AI164" i="3" s="1"/>
  <c r="BB40" i="3"/>
  <c r="BB44" i="3" s="1"/>
  <c r="BB49" i="3" s="1"/>
  <c r="G53" i="3"/>
  <c r="AN5" i="3"/>
  <c r="AN15" i="3" s="1"/>
  <c r="AN25" i="3" s="1"/>
  <c r="BN40" i="3"/>
  <c r="BN44" i="3" s="1"/>
  <c r="BN49" i="3" s="1"/>
  <c r="BC5" i="3"/>
  <c r="BC15" i="3" s="1"/>
  <c r="BC25" i="3" s="1"/>
  <c r="AP5" i="3"/>
  <c r="AP15" i="3" s="1"/>
  <c r="AP25" i="3" s="1"/>
  <c r="AO5" i="3"/>
  <c r="AO15" i="3" s="1"/>
  <c r="AO25" i="3" s="1"/>
  <c r="AY5" i="3"/>
  <c r="AY15" i="3" s="1"/>
  <c r="AY28" i="3" s="1"/>
  <c r="AQ5" i="3"/>
  <c r="AQ15" i="3" s="1"/>
  <c r="AQ25" i="3" s="1"/>
  <c r="AL5" i="3"/>
  <c r="AL15" i="3" s="1"/>
  <c r="AL28" i="3" s="1"/>
  <c r="BB5" i="3"/>
  <c r="BB15" i="3" s="1"/>
  <c r="BB25" i="3" s="1"/>
  <c r="R54" i="3"/>
  <c r="CN60" i="7"/>
  <c r="CR60" i="7" s="1"/>
  <c r="CU60" i="7" s="1"/>
  <c r="DY105" i="7"/>
  <c r="CN157" i="7"/>
  <c r="CP157" i="7" s="1"/>
  <c r="CS157" i="7" s="1"/>
  <c r="CT157" i="7" s="1"/>
  <c r="D61" i="3"/>
  <c r="CO205" i="7"/>
  <c r="CR205" i="7" s="1"/>
  <c r="DX107" i="7"/>
  <c r="CO148" i="7"/>
  <c r="CR148" i="7" s="1"/>
  <c r="CU148" i="7" s="1"/>
  <c r="CX148" i="7" s="1"/>
  <c r="DY198" i="7"/>
  <c r="DX110" i="7"/>
  <c r="DY184" i="7"/>
  <c r="CO84" i="7"/>
  <c r="CR84" i="7" s="1"/>
  <c r="AP185" i="3"/>
  <c r="AQ181" i="3"/>
  <c r="AP186" i="3"/>
  <c r="AP162" i="3"/>
  <c r="AP163" i="3"/>
  <c r="AQ158" i="3"/>
  <c r="AQ135" i="3"/>
  <c r="AP139" i="3"/>
  <c r="AP140" i="3"/>
  <c r="CR198" i="7"/>
  <c r="CU198" i="7" s="1"/>
  <c r="CQ198" i="7"/>
  <c r="CP198" i="7"/>
  <c r="CS198" i="7" s="1"/>
  <c r="CT198" i="7" s="1"/>
  <c r="CR98" i="7"/>
  <c r="CU98" i="7" s="1"/>
  <c r="CP98" i="7"/>
  <c r="CS98" i="7" s="1"/>
  <c r="CT98" i="7" s="1"/>
  <c r="CQ98" i="7"/>
  <c r="DX98" i="7"/>
  <c r="DX198" i="7"/>
  <c r="CN80" i="7"/>
  <c r="CP80" i="7" s="1"/>
  <c r="CS80" i="7" s="1"/>
  <c r="CT80" i="7" s="1"/>
  <c r="CQ118" i="7"/>
  <c r="CR189" i="7"/>
  <c r="CU189" i="7" s="1"/>
  <c r="CR166" i="7"/>
  <c r="CU166" i="7" s="1"/>
  <c r="CN180" i="7"/>
  <c r="CQ180" i="7" s="1"/>
  <c r="CR118" i="7"/>
  <c r="CU118" i="7" s="1"/>
  <c r="CQ168" i="7"/>
  <c r="CN92" i="7"/>
  <c r="CQ92" i="7" s="1"/>
  <c r="CP82" i="7"/>
  <c r="CS82" i="7" s="1"/>
  <c r="CT82" i="7" s="1"/>
  <c r="CR82" i="7"/>
  <c r="CU82" i="7" s="1"/>
  <c r="CR114" i="7"/>
  <c r="CU114" i="7" s="1"/>
  <c r="CQ148" i="7"/>
  <c r="CR168" i="7"/>
  <c r="CU168" i="7" s="1"/>
  <c r="CP169" i="7"/>
  <c r="CS169" i="7" s="1"/>
  <c r="CT169" i="7" s="1"/>
  <c r="CR101" i="7"/>
  <c r="CU101" i="7" s="1"/>
  <c r="CX101" i="7" s="1"/>
  <c r="CQ101" i="7"/>
  <c r="CV201" i="7"/>
  <c r="CR169" i="7"/>
  <c r="CU169" i="7" s="1"/>
  <c r="CO130" i="7"/>
  <c r="CR130" i="7" s="1"/>
  <c r="DY130" i="7"/>
  <c r="CO80" i="7"/>
  <c r="DY80" i="7"/>
  <c r="CO180" i="7"/>
  <c r="DY180" i="7"/>
  <c r="CR116" i="7"/>
  <c r="CU116" i="7" s="1"/>
  <c r="CX116" i="7" s="1"/>
  <c r="CP119" i="7"/>
  <c r="CS119" i="7" s="1"/>
  <c r="CT119" i="7" s="1"/>
  <c r="CR119" i="7"/>
  <c r="CU119" i="7" s="1"/>
  <c r="CQ116" i="7"/>
  <c r="CR178" i="7"/>
  <c r="CU178" i="7" s="1"/>
  <c r="CP69" i="7"/>
  <c r="CS69" i="7" s="1"/>
  <c r="CT69" i="7" s="1"/>
  <c r="CQ178" i="7"/>
  <c r="CR69" i="7"/>
  <c r="CU69" i="7" s="1"/>
  <c r="CP166" i="7"/>
  <c r="CS166" i="7" s="1"/>
  <c r="CT166" i="7" s="1"/>
  <c r="CQ151" i="7"/>
  <c r="CW62" i="7"/>
  <c r="CR151" i="7"/>
  <c r="CU151" i="7" s="1"/>
  <c r="CR95" i="7"/>
  <c r="CU95" i="7" s="1"/>
  <c r="DX142" i="7"/>
  <c r="CV62" i="7"/>
  <c r="CX132" i="7"/>
  <c r="CW132" i="7"/>
  <c r="CQ73" i="7"/>
  <c r="CW68" i="7"/>
  <c r="CP163" i="7"/>
  <c r="CS163" i="7" s="1"/>
  <c r="CT163" i="7" s="1"/>
  <c r="DX192" i="7"/>
  <c r="CW162" i="7"/>
  <c r="CV128" i="7"/>
  <c r="CV199" i="7"/>
  <c r="CR102" i="7"/>
  <c r="CU102" i="7" s="1"/>
  <c r="DY142" i="7"/>
  <c r="CO142" i="7"/>
  <c r="CR142" i="7" s="1"/>
  <c r="CU142" i="7" s="1"/>
  <c r="CO92" i="7"/>
  <c r="DY92" i="7"/>
  <c r="CO192" i="7"/>
  <c r="CR192" i="7" s="1"/>
  <c r="CU192" i="7" s="1"/>
  <c r="DY192" i="7"/>
  <c r="CR171" i="7"/>
  <c r="CU171" i="7" s="1"/>
  <c r="CP159" i="7"/>
  <c r="CS159" i="7" s="1"/>
  <c r="CT159" i="7" s="1"/>
  <c r="CP94" i="7"/>
  <c r="CS94" i="7" s="1"/>
  <c r="CT94" i="7" s="1"/>
  <c r="CQ94" i="7"/>
  <c r="CR86" i="7"/>
  <c r="CU86" i="7" s="1"/>
  <c r="CV182" i="7"/>
  <c r="CP203" i="7"/>
  <c r="CS203" i="7" s="1"/>
  <c r="CT203" i="7" s="1"/>
  <c r="CP174" i="7"/>
  <c r="CS174" i="7" s="1"/>
  <c r="CT174" i="7" s="1"/>
  <c r="CQ175" i="7"/>
  <c r="CQ188" i="7"/>
  <c r="CP73" i="7"/>
  <c r="CS73" i="7" s="1"/>
  <c r="CT73" i="7" s="1"/>
  <c r="CR188" i="7"/>
  <c r="CU188" i="7" s="1"/>
  <c r="CR113" i="7"/>
  <c r="CU113" i="7" s="1"/>
  <c r="CX113" i="7" s="1"/>
  <c r="CR144" i="7"/>
  <c r="CU144" i="7" s="1"/>
  <c r="CX144" i="7" s="1"/>
  <c r="CQ171" i="7"/>
  <c r="CX62" i="7"/>
  <c r="CP191" i="7"/>
  <c r="CS191" i="7" s="1"/>
  <c r="CT191" i="7" s="1"/>
  <c r="CQ150" i="7"/>
  <c r="CQ189" i="7"/>
  <c r="CQ58" i="7"/>
  <c r="CR170" i="7"/>
  <c r="CU170" i="7" s="1"/>
  <c r="CQ155" i="7"/>
  <c r="CR150" i="7"/>
  <c r="CU150" i="7" s="1"/>
  <c r="CQ86" i="7"/>
  <c r="CP170" i="7"/>
  <c r="CS170" i="7" s="1"/>
  <c r="CT170" i="7" s="1"/>
  <c r="CP200" i="7"/>
  <c r="CS200" i="7" s="1"/>
  <c r="CT200" i="7" s="1"/>
  <c r="CX162" i="7"/>
  <c r="CQ114" i="7"/>
  <c r="CP204" i="7"/>
  <c r="CS204" i="7" s="1"/>
  <c r="CT204" i="7" s="1"/>
  <c r="CQ76" i="7"/>
  <c r="CP187" i="7"/>
  <c r="CS187" i="7" s="1"/>
  <c r="CT187" i="7" s="1"/>
  <c r="CR64" i="7"/>
  <c r="CU64" i="7" s="1"/>
  <c r="CR185" i="7"/>
  <c r="CU185" i="7" s="1"/>
  <c r="CV132" i="7"/>
  <c r="CR203" i="7"/>
  <c r="CU203" i="7" s="1"/>
  <c r="CR76" i="7"/>
  <c r="CU76" i="7" s="1"/>
  <c r="CP88" i="7"/>
  <c r="CS88" i="7" s="1"/>
  <c r="CT88" i="7" s="1"/>
  <c r="CP164" i="7"/>
  <c r="CS164" i="7" s="1"/>
  <c r="CT164" i="7" s="1"/>
  <c r="CR81" i="7"/>
  <c r="CU81" i="7" s="1"/>
  <c r="CQ130" i="7"/>
  <c r="CP64" i="7"/>
  <c r="CS64" i="7" s="1"/>
  <c r="CT64" i="7" s="1"/>
  <c r="CQ197" i="7"/>
  <c r="CP111" i="7"/>
  <c r="CS111" i="7" s="1"/>
  <c r="CT111" i="7" s="1"/>
  <c r="CR152" i="7"/>
  <c r="CU152" i="7" s="1"/>
  <c r="CP117" i="7"/>
  <c r="CS117" i="7" s="1"/>
  <c r="CT117" i="7" s="1"/>
  <c r="CQ142" i="7"/>
  <c r="CQ179" i="7"/>
  <c r="CP153" i="7"/>
  <c r="CS153" i="7" s="1"/>
  <c r="CT153" i="7" s="1"/>
  <c r="CR83" i="7"/>
  <c r="CU83" i="7" s="1"/>
  <c r="CX83" i="7" s="1"/>
  <c r="CQ145" i="7"/>
  <c r="CP93" i="7"/>
  <c r="CS93" i="7" s="1"/>
  <c r="CT93" i="7" s="1"/>
  <c r="CQ91" i="7"/>
  <c r="CR110" i="7"/>
  <c r="CU110" i="7" s="1"/>
  <c r="CQ156" i="7"/>
  <c r="CP89" i="7"/>
  <c r="CS89" i="7" s="1"/>
  <c r="CT89" i="7" s="1"/>
  <c r="CP110" i="7"/>
  <c r="CS110" i="7" s="1"/>
  <c r="CT110" i="7" s="1"/>
  <c r="CQ71" i="7"/>
  <c r="CR70" i="7"/>
  <c r="CU70" i="7" s="1"/>
  <c r="CQ89" i="7"/>
  <c r="CR87" i="7"/>
  <c r="CU87" i="7" s="1"/>
  <c r="CX87" i="7" s="1"/>
  <c r="CQ173" i="7"/>
  <c r="CQ187" i="7"/>
  <c r="CR156" i="7"/>
  <c r="CU156" i="7" s="1"/>
  <c r="CR107" i="7"/>
  <c r="CU107" i="7" s="1"/>
  <c r="CP189" i="7"/>
  <c r="CS189" i="7" s="1"/>
  <c r="CT189" i="7" s="1"/>
  <c r="CR153" i="7"/>
  <c r="CU153" i="7" s="1"/>
  <c r="CQ159" i="7"/>
  <c r="CP97" i="7"/>
  <c r="CS97" i="7" s="1"/>
  <c r="CT97" i="7" s="1"/>
  <c r="CP114" i="7"/>
  <c r="CS114" i="7" s="1"/>
  <c r="CT114" i="7" s="1"/>
  <c r="CP185" i="7"/>
  <c r="CS185" i="7" s="1"/>
  <c r="CT185" i="7" s="1"/>
  <c r="CQ186" i="7"/>
  <c r="CP102" i="7"/>
  <c r="CS102" i="7" s="1"/>
  <c r="CT102" i="7" s="1"/>
  <c r="CR93" i="7"/>
  <c r="CU93" i="7" s="1"/>
  <c r="CP70" i="7"/>
  <c r="CS70" i="7" s="1"/>
  <c r="CT70" i="7" s="1"/>
  <c r="CP75" i="7"/>
  <c r="CS75" i="7" s="1"/>
  <c r="CT75" i="7" s="1"/>
  <c r="CR127" i="7"/>
  <c r="CU127" i="7" s="1"/>
  <c r="CP161" i="7"/>
  <c r="CS161" i="7" s="1"/>
  <c r="CT161" i="7" s="1"/>
  <c r="CP192" i="7"/>
  <c r="CS192" i="7" s="1"/>
  <c r="CT192" i="7" s="1"/>
  <c r="CP186" i="7"/>
  <c r="CS186" i="7" s="1"/>
  <c r="CT186" i="7" s="1"/>
  <c r="CP158" i="7"/>
  <c r="CS158" i="7" s="1"/>
  <c r="CT158" i="7" s="1"/>
  <c r="CX128" i="7"/>
  <c r="CQ202" i="7"/>
  <c r="CR202" i="7"/>
  <c r="CP202" i="7"/>
  <c r="CS202" i="7" s="1"/>
  <c r="CT202" i="7" s="1"/>
  <c r="CR109" i="7"/>
  <c r="CU109" i="7" s="1"/>
  <c r="CX109" i="7" s="1"/>
  <c r="CP183" i="7"/>
  <c r="CS183" i="7" s="1"/>
  <c r="CT183" i="7" s="1"/>
  <c r="CR58" i="7"/>
  <c r="CU58" i="7" s="1"/>
  <c r="CQ191" i="7"/>
  <c r="CR85" i="7"/>
  <c r="CU85" i="7" s="1"/>
  <c r="CX85" i="7" s="1"/>
  <c r="CR200" i="7"/>
  <c r="CU200" i="7" s="1"/>
  <c r="CQ124" i="7"/>
  <c r="CR88" i="7"/>
  <c r="CU88" i="7" s="1"/>
  <c r="CR155" i="7"/>
  <c r="CU155" i="7" s="1"/>
  <c r="CP197" i="7"/>
  <c r="CS197" i="7" s="1"/>
  <c r="CT197" i="7" s="1"/>
  <c r="CP81" i="7"/>
  <c r="CS81" i="7" s="1"/>
  <c r="CT81" i="7" s="1"/>
  <c r="CR158" i="7"/>
  <c r="CU158" i="7" s="1"/>
  <c r="CP175" i="7"/>
  <c r="CS175" i="7" s="1"/>
  <c r="CT175" i="7" s="1"/>
  <c r="CQ135" i="7"/>
  <c r="CQ109" i="7"/>
  <c r="CR184" i="7"/>
  <c r="CU184" i="7" s="1"/>
  <c r="CR160" i="7"/>
  <c r="CU160" i="7" s="1"/>
  <c r="CX160" i="7" s="1"/>
  <c r="CQ85" i="7"/>
  <c r="CW128" i="7"/>
  <c r="CQ134" i="7"/>
  <c r="CP181" i="7"/>
  <c r="CS181" i="7" s="1"/>
  <c r="CT181" i="7" s="1"/>
  <c r="CQ192" i="7"/>
  <c r="CP152" i="7"/>
  <c r="CS152" i="7" s="1"/>
  <c r="CT152" i="7" s="1"/>
  <c r="CX68" i="7"/>
  <c r="CQ152" i="7"/>
  <c r="CP127" i="7"/>
  <c r="CS127" i="7" s="1"/>
  <c r="CT127" i="7" s="1"/>
  <c r="CP179" i="7"/>
  <c r="CS179" i="7" s="1"/>
  <c r="CT179" i="7" s="1"/>
  <c r="CU91" i="7"/>
  <c r="CU103" i="7"/>
  <c r="CU89" i="7"/>
  <c r="CU100" i="7"/>
  <c r="CU179" i="7"/>
  <c r="CU159" i="7"/>
  <c r="CU175" i="7"/>
  <c r="CU90" i="7"/>
  <c r="CU167" i="7"/>
  <c r="CU73" i="7"/>
  <c r="CU104" i="7"/>
  <c r="CU164" i="7"/>
  <c r="CU111" i="7"/>
  <c r="CU117" i="7"/>
  <c r="DX72" i="7"/>
  <c r="CN72" i="7"/>
  <c r="CP72" i="7" s="1"/>
  <c r="CS72" i="7" s="1"/>
  <c r="CT72" i="7" s="1"/>
  <c r="CU173" i="7"/>
  <c r="CU187" i="7"/>
  <c r="DX172" i="7"/>
  <c r="CN172" i="7"/>
  <c r="CR172" i="7" s="1"/>
  <c r="CU197" i="7"/>
  <c r="CU131" i="7"/>
  <c r="CU163" i="7"/>
  <c r="CX199" i="7"/>
  <c r="CU194" i="7"/>
  <c r="DX122" i="7"/>
  <c r="CN122" i="7"/>
  <c r="CR122" i="7" s="1"/>
  <c r="CP100" i="7"/>
  <c r="CS100" i="7" s="1"/>
  <c r="CT100" i="7" s="1"/>
  <c r="CR65" i="7"/>
  <c r="CP165" i="7"/>
  <c r="CS165" i="7" s="1"/>
  <c r="CT165" i="7" s="1"/>
  <c r="CQ137" i="7"/>
  <c r="CP91" i="7"/>
  <c r="CS91" i="7" s="1"/>
  <c r="CT91" i="7" s="1"/>
  <c r="CQ77" i="7"/>
  <c r="CQ59" i="7"/>
  <c r="CQ167" i="7"/>
  <c r="CP106" i="7"/>
  <c r="CS106" i="7" s="1"/>
  <c r="CT106" i="7" s="1"/>
  <c r="CP63" i="7"/>
  <c r="CS63" i="7" s="1"/>
  <c r="CT63" i="7" s="1"/>
  <c r="CX201" i="7"/>
  <c r="CQ61" i="7"/>
  <c r="CP121" i="7"/>
  <c r="CS121" i="7" s="1"/>
  <c r="CT121" i="7" s="1"/>
  <c r="CR143" i="7"/>
  <c r="CR181" i="7"/>
  <c r="CU99" i="7"/>
  <c r="CW99" i="7" s="1"/>
  <c r="CU149" i="7"/>
  <c r="CU161" i="7"/>
  <c r="CU186" i="7"/>
  <c r="CU196" i="7"/>
  <c r="CU57" i="7"/>
  <c r="CR154" i="7"/>
  <c r="CQ96" i="7"/>
  <c r="CQ117" i="7"/>
  <c r="CW182" i="7"/>
  <c r="CP59" i="7"/>
  <c r="CS59" i="7" s="1"/>
  <c r="CT59" i="7" s="1"/>
  <c r="CQ125" i="7"/>
  <c r="CQ129" i="7"/>
  <c r="CX182" i="7"/>
  <c r="CR193" i="7"/>
  <c r="CQ106" i="7"/>
  <c r="CR63" i="7"/>
  <c r="CQ136" i="7"/>
  <c r="CP61" i="7"/>
  <c r="CS61" i="7" s="1"/>
  <c r="CT61" i="7" s="1"/>
  <c r="CR123" i="7"/>
  <c r="CP143" i="7"/>
  <c r="CS143" i="7" s="1"/>
  <c r="CT143" i="7" s="1"/>
  <c r="CQ206" i="7"/>
  <c r="CP105" i="7"/>
  <c r="CS105" i="7" s="1"/>
  <c r="CT105" i="7" s="1"/>
  <c r="CU96" i="7"/>
  <c r="CU191" i="7"/>
  <c r="CR147" i="7"/>
  <c r="CR125" i="7"/>
  <c r="CR129" i="7"/>
  <c r="CP193" i="7"/>
  <c r="CS193" i="7" s="1"/>
  <c r="CT193" i="7" s="1"/>
  <c r="CQ63" i="7"/>
  <c r="CR136" i="7"/>
  <c r="CR121" i="7"/>
  <c r="CQ123" i="7"/>
  <c r="CR206" i="7"/>
  <c r="CR195" i="7"/>
  <c r="CQ105" i="7"/>
  <c r="CR176" i="7"/>
  <c r="CP196" i="7"/>
  <c r="CS196" i="7" s="1"/>
  <c r="CT196" i="7" s="1"/>
  <c r="CQ57" i="7"/>
  <c r="CU204" i="7"/>
  <c r="CU94" i="7"/>
  <c r="CU66" i="7"/>
  <c r="CX66" i="7" s="1"/>
  <c r="CP154" i="7"/>
  <c r="CS154" i="7" s="1"/>
  <c r="CT154" i="7" s="1"/>
  <c r="CP103" i="7"/>
  <c r="CS103" i="7" s="1"/>
  <c r="CT103" i="7" s="1"/>
  <c r="CR108" i="7"/>
  <c r="CW201" i="7"/>
  <c r="CQ154" i="7"/>
  <c r="CR165" i="7"/>
  <c r="CP90" i="7"/>
  <c r="CS90" i="7" s="1"/>
  <c r="CT90" i="7" s="1"/>
  <c r="CP194" i="7"/>
  <c r="CS194" i="7" s="1"/>
  <c r="CT194" i="7" s="1"/>
  <c r="CR137" i="7"/>
  <c r="CR139" i="7"/>
  <c r="CQ147" i="7"/>
  <c r="CR133" i="7"/>
  <c r="CQ184" i="7"/>
  <c r="CR74" i="7"/>
  <c r="CQ108" i="7"/>
  <c r="CP142" i="7"/>
  <c r="CS142" i="7" s="1"/>
  <c r="CT142" i="7" s="1"/>
  <c r="CQ160" i="7"/>
  <c r="CQ104" i="7"/>
  <c r="CW199" i="7"/>
  <c r="CP129" i="7"/>
  <c r="CS129" i="7" s="1"/>
  <c r="CT129" i="7" s="1"/>
  <c r="CP67" i="7"/>
  <c r="CS67" i="7" s="1"/>
  <c r="CT67" i="7" s="1"/>
  <c r="CQ79" i="7"/>
  <c r="CP120" i="7"/>
  <c r="CS120" i="7" s="1"/>
  <c r="CT120" i="7" s="1"/>
  <c r="CQ84" i="7"/>
  <c r="CP177" i="7"/>
  <c r="CS177" i="7" s="1"/>
  <c r="CT177" i="7" s="1"/>
  <c r="CP146" i="7"/>
  <c r="CS146" i="7" s="1"/>
  <c r="CT146" i="7" s="1"/>
  <c r="CR61" i="7"/>
  <c r="CR115" i="7"/>
  <c r="CP190" i="7"/>
  <c r="CS190" i="7" s="1"/>
  <c r="CT190" i="7" s="1"/>
  <c r="CR140" i="7"/>
  <c r="CQ164" i="7"/>
  <c r="CP123" i="7"/>
  <c r="CS123" i="7" s="1"/>
  <c r="CT123" i="7" s="1"/>
  <c r="CP126" i="7"/>
  <c r="CS126" i="7" s="1"/>
  <c r="CT126" i="7" s="1"/>
  <c r="CR141" i="7"/>
  <c r="CQ143" i="7"/>
  <c r="CR145" i="7"/>
  <c r="CQ195" i="7"/>
  <c r="CP60" i="7"/>
  <c r="CS60" i="7" s="1"/>
  <c r="CT60" i="7" s="1"/>
  <c r="CR105" i="7"/>
  <c r="CQ131" i="7"/>
  <c r="CR138" i="7"/>
  <c r="CP57" i="7"/>
  <c r="CS57" i="7" s="1"/>
  <c r="CT57" i="7" s="1"/>
  <c r="CP95" i="7"/>
  <c r="CS95" i="7" s="1"/>
  <c r="CT95" i="7" s="1"/>
  <c r="CQ163" i="7"/>
  <c r="CU78" i="7"/>
  <c r="CQ100" i="7"/>
  <c r="CV68" i="7"/>
  <c r="CP65" i="7"/>
  <c r="CS65" i="7" s="1"/>
  <c r="CT65" i="7" s="1"/>
  <c r="CQ103" i="7"/>
  <c r="CQ90" i="7"/>
  <c r="CR183" i="7"/>
  <c r="CQ194" i="7"/>
  <c r="CP96" i="7"/>
  <c r="CS96" i="7" s="1"/>
  <c r="CT96" i="7" s="1"/>
  <c r="CQ139" i="7"/>
  <c r="CQ204" i="7"/>
  <c r="CR71" i="7"/>
  <c r="CQ133" i="7"/>
  <c r="CQ74" i="7"/>
  <c r="CP108" i="7"/>
  <c r="CS108" i="7" s="1"/>
  <c r="CT108" i="7" s="1"/>
  <c r="CR77" i="7"/>
  <c r="CR59" i="7"/>
  <c r="CP205" i="7"/>
  <c r="CS205" i="7" s="1"/>
  <c r="CT205" i="7" s="1"/>
  <c r="CQ87" i="7"/>
  <c r="CQ144" i="7"/>
  <c r="CP104" i="7"/>
  <c r="CS104" i="7" s="1"/>
  <c r="CT104" i="7" s="1"/>
  <c r="CQ113" i="7"/>
  <c r="CP125" i="7"/>
  <c r="CS125" i="7" s="1"/>
  <c r="CT125" i="7" s="1"/>
  <c r="CR75" i="7"/>
  <c r="CP167" i="7"/>
  <c r="CS167" i="7" s="1"/>
  <c r="CT167" i="7" s="1"/>
  <c r="CR67" i="7"/>
  <c r="CP173" i="7"/>
  <c r="CS173" i="7" s="1"/>
  <c r="CT173" i="7" s="1"/>
  <c r="CR79" i="7"/>
  <c r="CR120" i="7"/>
  <c r="CR97" i="7"/>
  <c r="CR134" i="7"/>
  <c r="CQ193" i="7"/>
  <c r="CR106" i="7"/>
  <c r="CR124" i="7"/>
  <c r="CR177" i="7"/>
  <c r="CR146" i="7"/>
  <c r="CP136" i="7"/>
  <c r="CS136" i="7" s="1"/>
  <c r="CT136" i="7" s="1"/>
  <c r="CQ115" i="7"/>
  <c r="CR190" i="7"/>
  <c r="CP140" i="7"/>
  <c r="CS140" i="7" s="1"/>
  <c r="CT140" i="7" s="1"/>
  <c r="CQ161" i="7"/>
  <c r="CQ121" i="7"/>
  <c r="CR126" i="7"/>
  <c r="CQ141" i="7"/>
  <c r="CR174" i="7"/>
  <c r="CQ83" i="7"/>
  <c r="CP206" i="7"/>
  <c r="CS206" i="7" s="1"/>
  <c r="CT206" i="7" s="1"/>
  <c r="CP195" i="7"/>
  <c r="CS195" i="7" s="1"/>
  <c r="CT195" i="7" s="1"/>
  <c r="CQ111" i="7"/>
  <c r="CQ107" i="7"/>
  <c r="CP176" i="7"/>
  <c r="CS176" i="7" s="1"/>
  <c r="CT176" i="7" s="1"/>
  <c r="CR135" i="7"/>
  <c r="CP131" i="7"/>
  <c r="CS131" i="7" s="1"/>
  <c r="CT131" i="7" s="1"/>
  <c r="CP138" i="7"/>
  <c r="CS138" i="7" s="1"/>
  <c r="CT138" i="7" s="1"/>
  <c r="CQ196" i="7"/>
  <c r="CQ95" i="7"/>
  <c r="CZ162" i="7" l="1"/>
  <c r="AE145" i="3"/>
  <c r="AE146" i="3" s="1"/>
  <c r="AE147" i="3" s="1"/>
  <c r="AE150" i="3" s="1"/>
  <c r="AE152" i="3" s="1"/>
  <c r="AI143" i="3"/>
  <c r="AI145" i="3" s="1"/>
  <c r="AI146" i="3" s="1"/>
  <c r="AI149" i="3" s="1"/>
  <c r="AI151" i="3" s="1"/>
  <c r="AM145" i="3"/>
  <c r="AM146" i="3" s="1"/>
  <c r="AM149" i="3" s="1"/>
  <c r="AM151" i="3" s="1"/>
  <c r="AK143" i="3"/>
  <c r="AK145" i="3" s="1"/>
  <c r="AK146" i="3" s="1"/>
  <c r="AK149" i="3" s="1"/>
  <c r="AK151" i="3" s="1"/>
  <c r="AF143" i="3"/>
  <c r="AF145" i="3" s="1"/>
  <c r="AG29" i="3"/>
  <c r="AG30" i="3" s="1"/>
  <c r="AG33" i="3" s="1"/>
  <c r="AH145" i="3"/>
  <c r="AH146" i="3" s="1"/>
  <c r="AH149" i="3" s="1"/>
  <c r="AH151" i="3" s="1"/>
  <c r="AL143" i="3"/>
  <c r="AL145" i="3" s="1"/>
  <c r="AL146" i="3" s="1"/>
  <c r="AL149" i="3" s="1"/>
  <c r="AL151" i="3" s="1"/>
  <c r="AJ145" i="3"/>
  <c r="AJ146" i="3" s="1"/>
  <c r="AF27" i="3"/>
  <c r="AF29" i="3" s="1"/>
  <c r="AG145" i="3"/>
  <c r="AG146" i="3" s="1"/>
  <c r="AN143" i="3"/>
  <c r="AN145" i="3" s="1"/>
  <c r="CW112" i="7"/>
  <c r="CX112" i="7"/>
  <c r="CV112" i="7"/>
  <c r="CQ60" i="7"/>
  <c r="CW60" i="7" s="1"/>
  <c r="AX121" i="3"/>
  <c r="AX72" i="3"/>
  <c r="AO164" i="3"/>
  <c r="AO166" i="3" s="1"/>
  <c r="AZ121" i="3"/>
  <c r="AF164" i="3"/>
  <c r="BF119" i="3"/>
  <c r="BF120" i="3" s="1"/>
  <c r="AM165" i="3"/>
  <c r="AM166" i="3" s="1"/>
  <c r="BH95" i="3"/>
  <c r="BH97" i="3" s="1"/>
  <c r="AM167" i="3"/>
  <c r="AY98" i="3"/>
  <c r="BB96" i="3"/>
  <c r="BB97" i="3" s="1"/>
  <c r="BF121" i="3"/>
  <c r="AX73" i="3"/>
  <c r="AZ98" i="3"/>
  <c r="BH98" i="3"/>
  <c r="AZ119" i="3"/>
  <c r="AZ120" i="3" s="1"/>
  <c r="AF165" i="3"/>
  <c r="AZ96" i="3"/>
  <c r="AZ97" i="3" s="1"/>
  <c r="AM26" i="3"/>
  <c r="BB98" i="3"/>
  <c r="BH119" i="3"/>
  <c r="BH120" i="3" s="1"/>
  <c r="AE165" i="3"/>
  <c r="AE166" i="3" s="1"/>
  <c r="AM25" i="3"/>
  <c r="AE167" i="3"/>
  <c r="BJ75" i="3"/>
  <c r="BH121" i="3"/>
  <c r="AL164" i="3"/>
  <c r="AL166" i="3" s="1"/>
  <c r="BA98" i="3"/>
  <c r="AI165" i="3"/>
  <c r="AI166" i="3" s="1"/>
  <c r="AL167" i="3"/>
  <c r="AI167" i="3"/>
  <c r="BA95" i="3"/>
  <c r="BA97" i="3" s="1"/>
  <c r="BC96" i="3"/>
  <c r="AY96" i="3"/>
  <c r="AY97" i="3" s="1"/>
  <c r="BJ73" i="3"/>
  <c r="BJ74" i="3" s="1"/>
  <c r="AX119" i="3"/>
  <c r="AX120" i="3" s="1"/>
  <c r="BJ50" i="3"/>
  <c r="BJ51" i="3" s="1"/>
  <c r="BF96" i="3"/>
  <c r="BD95" i="3"/>
  <c r="BD96" i="3"/>
  <c r="BA121" i="3"/>
  <c r="AY52" i="3"/>
  <c r="AY50" i="3"/>
  <c r="AY51" i="3" s="1"/>
  <c r="BA118" i="3"/>
  <c r="BA120" i="3" s="1"/>
  <c r="BF95" i="3"/>
  <c r="AX25" i="3"/>
  <c r="BN5" i="3"/>
  <c r="BN15" i="3" s="1"/>
  <c r="BN25" i="3" s="1"/>
  <c r="AX49" i="3"/>
  <c r="AO167" i="3"/>
  <c r="BJ52" i="3"/>
  <c r="AY75" i="3"/>
  <c r="AY118" i="3"/>
  <c r="AY120" i="3" s="1"/>
  <c r="BN63" i="3"/>
  <c r="BN67" i="3" s="1"/>
  <c r="BN72" i="3" s="1"/>
  <c r="BK40" i="3"/>
  <c r="BK44" i="3" s="1"/>
  <c r="BK49" i="3" s="1"/>
  <c r="BC119" i="3"/>
  <c r="BB121" i="3"/>
  <c r="AH165" i="3"/>
  <c r="BK63" i="3"/>
  <c r="BK67" i="3" s="1"/>
  <c r="BK72" i="3" s="1"/>
  <c r="BL63" i="3"/>
  <c r="BL67" i="3" s="1"/>
  <c r="BL72" i="3" s="1"/>
  <c r="BG98" i="3"/>
  <c r="BM63" i="3"/>
  <c r="BM67" i="3" s="1"/>
  <c r="BM72" i="3" s="1"/>
  <c r="AH164" i="3"/>
  <c r="BM5" i="3"/>
  <c r="BM15" i="3" s="1"/>
  <c r="BM25" i="3" s="1"/>
  <c r="BC118" i="3"/>
  <c r="BL5" i="3"/>
  <c r="BL15" i="3" s="1"/>
  <c r="BL25" i="3" s="1"/>
  <c r="BK5" i="3"/>
  <c r="BK15" i="3" s="1"/>
  <c r="BK25" i="3" s="1"/>
  <c r="AX50" i="3"/>
  <c r="BB119" i="3"/>
  <c r="BB120" i="3" s="1"/>
  <c r="BM40" i="3"/>
  <c r="BM44" i="3" s="1"/>
  <c r="BM49" i="3" s="1"/>
  <c r="BL40" i="3"/>
  <c r="BL44" i="3" s="1"/>
  <c r="BL49" i="3" s="1"/>
  <c r="BG96" i="3"/>
  <c r="BG97" i="3" s="1"/>
  <c r="AY121" i="3"/>
  <c r="BE96" i="3"/>
  <c r="BE97" i="3" s="1"/>
  <c r="AG164" i="3"/>
  <c r="AG166" i="3" s="1"/>
  <c r="AG167" i="3"/>
  <c r="BE121" i="3"/>
  <c r="BI118" i="3"/>
  <c r="BI120" i="3" s="1"/>
  <c r="BE118" i="3"/>
  <c r="BE120" i="3" s="1"/>
  <c r="BI121" i="3"/>
  <c r="BC95" i="3"/>
  <c r="AX96" i="3"/>
  <c r="AX95" i="3"/>
  <c r="BJ25" i="3"/>
  <c r="BJ27" i="3" s="1"/>
  <c r="AN167" i="3"/>
  <c r="AK164" i="3"/>
  <c r="AY73" i="3"/>
  <c r="AY74" i="3" s="1"/>
  <c r="BI95" i="3"/>
  <c r="BI97" i="3" s="1"/>
  <c r="BD121" i="3"/>
  <c r="AJ165" i="3"/>
  <c r="BE98" i="3"/>
  <c r="BI98" i="3"/>
  <c r="AJ164" i="3"/>
  <c r="AW5" i="3"/>
  <c r="AW15" i="3" s="1"/>
  <c r="AW25" i="3" s="1"/>
  <c r="BM178" i="3"/>
  <c r="BM182" i="3" s="1"/>
  <c r="BM187" i="3" s="1"/>
  <c r="BE178" i="3"/>
  <c r="BE182" i="3" s="1"/>
  <c r="BE187" i="3" s="1"/>
  <c r="AW178" i="3"/>
  <c r="AW182" i="3" s="1"/>
  <c r="AW187" i="3" s="1"/>
  <c r="AO178" i="3"/>
  <c r="AO182" i="3" s="1"/>
  <c r="AO187" i="3" s="1"/>
  <c r="AG178" i="3"/>
  <c r="AG182" i="3" s="1"/>
  <c r="AG188" i="3" s="1"/>
  <c r="BD178" i="3"/>
  <c r="BD182" i="3" s="1"/>
  <c r="BD187" i="3" s="1"/>
  <c r="AV178" i="3"/>
  <c r="AV182" i="3" s="1"/>
  <c r="AV187" i="3" s="1"/>
  <c r="AF178" i="3"/>
  <c r="AF182" i="3" s="1"/>
  <c r="AF187" i="3" s="1"/>
  <c r="BK178" i="3"/>
  <c r="BK182" i="3" s="1"/>
  <c r="BK187" i="3" s="1"/>
  <c r="AU178" i="3"/>
  <c r="AU182" i="3" s="1"/>
  <c r="AU187" i="3" s="1"/>
  <c r="AE178" i="3"/>
  <c r="AE182" i="3" s="1"/>
  <c r="AE188" i="3" s="1"/>
  <c r="BH178" i="3"/>
  <c r="BH182" i="3" s="1"/>
  <c r="BH187" i="3" s="1"/>
  <c r="AR178" i="3"/>
  <c r="AR182" i="3" s="1"/>
  <c r="AR187" i="3" s="1"/>
  <c r="AQ178" i="3"/>
  <c r="AQ182" i="3" s="1"/>
  <c r="AQ187" i="3" s="1"/>
  <c r="AP178" i="3"/>
  <c r="AP182" i="3" s="1"/>
  <c r="AP187" i="3" s="1"/>
  <c r="BL178" i="3"/>
  <c r="BL182" i="3" s="1"/>
  <c r="BL187" i="3" s="1"/>
  <c r="AN178" i="3"/>
  <c r="AN182" i="3" s="1"/>
  <c r="AN187" i="3" s="1"/>
  <c r="BC178" i="3"/>
  <c r="BC182" i="3" s="1"/>
  <c r="BC187" i="3" s="1"/>
  <c r="AM178" i="3"/>
  <c r="AM182" i="3" s="1"/>
  <c r="AM188" i="3" s="1"/>
  <c r="AK178" i="3"/>
  <c r="AK182" i="3" s="1"/>
  <c r="AK190" i="3" s="1"/>
  <c r="AZ178" i="3"/>
  <c r="AZ182" i="3" s="1"/>
  <c r="AZ187" i="3" s="1"/>
  <c r="AJ178" i="3"/>
  <c r="AJ182" i="3" s="1"/>
  <c r="AJ188" i="3" s="1"/>
  <c r="AI178" i="3"/>
  <c r="AI182" i="3" s="1"/>
  <c r="AI188" i="3" s="1"/>
  <c r="BF178" i="3"/>
  <c r="BF182" i="3" s="1"/>
  <c r="BF187" i="3" s="1"/>
  <c r="BJ178" i="3"/>
  <c r="BJ182" i="3" s="1"/>
  <c r="BJ187" i="3" s="1"/>
  <c r="BB178" i="3"/>
  <c r="BB182" i="3" s="1"/>
  <c r="BB187" i="3" s="1"/>
  <c r="AT178" i="3"/>
  <c r="AT182" i="3" s="1"/>
  <c r="AT187" i="3" s="1"/>
  <c r="AL178" i="3"/>
  <c r="AL182" i="3" s="1"/>
  <c r="AL187" i="3" s="1"/>
  <c r="BI178" i="3"/>
  <c r="BI182" i="3" s="1"/>
  <c r="BI187" i="3" s="1"/>
  <c r="AS178" i="3"/>
  <c r="AS182" i="3" s="1"/>
  <c r="AS187" i="3" s="1"/>
  <c r="AY178" i="3"/>
  <c r="AY182" i="3" s="1"/>
  <c r="AY187" i="3" s="1"/>
  <c r="AX178" i="3"/>
  <c r="AX182" i="3" s="1"/>
  <c r="AX187" i="3" s="1"/>
  <c r="BA178" i="3"/>
  <c r="BA182" i="3" s="1"/>
  <c r="BA187" i="3" s="1"/>
  <c r="BG178" i="3"/>
  <c r="BG182" i="3" s="1"/>
  <c r="BG187" i="3" s="1"/>
  <c r="BN178" i="3"/>
  <c r="BN182" i="3" s="1"/>
  <c r="BN187" i="3" s="1"/>
  <c r="AH178" i="3"/>
  <c r="AH182" i="3" s="1"/>
  <c r="AH187" i="3" s="1"/>
  <c r="BG121" i="3"/>
  <c r="BJ28" i="3"/>
  <c r="AX26" i="3"/>
  <c r="BD119" i="3"/>
  <c r="BD120" i="3" s="1"/>
  <c r="AK165" i="3"/>
  <c r="AN164" i="3"/>
  <c r="AN166" i="3" s="1"/>
  <c r="BG119" i="3"/>
  <c r="BG120" i="3" s="1"/>
  <c r="AY25" i="3"/>
  <c r="AY26" i="3"/>
  <c r="AL25" i="3"/>
  <c r="AL26" i="3"/>
  <c r="AU5" i="3"/>
  <c r="AU15" i="3" s="1"/>
  <c r="AU25" i="3" s="1"/>
  <c r="AV5" i="3"/>
  <c r="AV15" i="3" s="1"/>
  <c r="AV25" i="3" s="1"/>
  <c r="AS5" i="3"/>
  <c r="AS15" i="3" s="1"/>
  <c r="AS25" i="3" s="1"/>
  <c r="AT5" i="3"/>
  <c r="AT15" i="3" s="1"/>
  <c r="AT25" i="3" s="1"/>
  <c r="O62" i="3"/>
  <c r="AR5" i="3"/>
  <c r="AR15" i="3" s="1"/>
  <c r="AR25" i="3" s="1"/>
  <c r="CR157" i="7"/>
  <c r="CU157" i="7" s="1"/>
  <c r="CX157" i="7" s="1"/>
  <c r="CQ157" i="7"/>
  <c r="AR135" i="3"/>
  <c r="AQ140" i="3"/>
  <c r="AQ139" i="3"/>
  <c r="AQ163" i="3"/>
  <c r="AR158" i="3"/>
  <c r="AQ162" i="3"/>
  <c r="AQ186" i="3"/>
  <c r="AQ185" i="3"/>
  <c r="AR181" i="3"/>
  <c r="AP142" i="3"/>
  <c r="AP143" i="3" s="1"/>
  <c r="AP144" i="3"/>
  <c r="AP167" i="3"/>
  <c r="AP165" i="3"/>
  <c r="AP166" i="3" s="1"/>
  <c r="AO145" i="3"/>
  <c r="AO146" i="3" s="1"/>
  <c r="CW198" i="7"/>
  <c r="CW98" i="7"/>
  <c r="CR80" i="7"/>
  <c r="CU80" i="7" s="1"/>
  <c r="CX80" i="7" s="1"/>
  <c r="CV98" i="7"/>
  <c r="CX98" i="7"/>
  <c r="CQ80" i="7"/>
  <c r="CW118" i="7"/>
  <c r="CX118" i="7"/>
  <c r="CV166" i="7"/>
  <c r="CV118" i="7"/>
  <c r="CP180" i="7"/>
  <c r="CS180" i="7" s="1"/>
  <c r="CT180" i="7" s="1"/>
  <c r="CR180" i="7"/>
  <c r="CU180" i="7" s="1"/>
  <c r="CW168" i="7"/>
  <c r="CW82" i="7"/>
  <c r="CW76" i="7"/>
  <c r="CX168" i="7"/>
  <c r="CR92" i="7"/>
  <c r="CU92" i="7" s="1"/>
  <c r="CP92" i="7"/>
  <c r="CS92" i="7" s="1"/>
  <c r="CT92" i="7" s="1"/>
  <c r="CV168" i="7"/>
  <c r="CX93" i="7"/>
  <c r="CV119" i="7"/>
  <c r="CV169" i="7"/>
  <c r="CW169" i="7"/>
  <c r="CW119" i="7"/>
  <c r="CV58" i="7"/>
  <c r="CX169" i="7"/>
  <c r="CW185" i="7"/>
  <c r="CX119" i="7"/>
  <c r="CY62" i="7"/>
  <c r="CW89" i="7"/>
  <c r="CW189" i="7"/>
  <c r="CW166" i="7"/>
  <c r="CX192" i="7"/>
  <c r="CW69" i="7"/>
  <c r="CX203" i="7"/>
  <c r="CW102" i="7"/>
  <c r="CZ62" i="7"/>
  <c r="DB62" i="7" s="1"/>
  <c r="CX88" i="7"/>
  <c r="CV156" i="7"/>
  <c r="CW64" i="7"/>
  <c r="CX166" i="7"/>
  <c r="CW191" i="7"/>
  <c r="CW100" i="7"/>
  <c r="CX117" i="7"/>
  <c r="CV64" i="7"/>
  <c r="CV186" i="7"/>
  <c r="CV187" i="7"/>
  <c r="CX127" i="7"/>
  <c r="CW110" i="7"/>
  <c r="CV82" i="7"/>
  <c r="CW197" i="7"/>
  <c r="CW179" i="7"/>
  <c r="CZ68" i="7"/>
  <c r="DA68" i="7" s="1"/>
  <c r="CZ128" i="7"/>
  <c r="DB128" i="7" s="1"/>
  <c r="CX81" i="7"/>
  <c r="CW81" i="7"/>
  <c r="CX188" i="7"/>
  <c r="CW188" i="7"/>
  <c r="CV188" i="7"/>
  <c r="CX86" i="7"/>
  <c r="CV86" i="7"/>
  <c r="CW86" i="7"/>
  <c r="CW117" i="7"/>
  <c r="CV69" i="7"/>
  <c r="CV94" i="7"/>
  <c r="CV191" i="7"/>
  <c r="CX161" i="7"/>
  <c r="CV70" i="7"/>
  <c r="CW159" i="7"/>
  <c r="CV170" i="7"/>
  <c r="CY162" i="7"/>
  <c r="CY128" i="7"/>
  <c r="CV114" i="7"/>
  <c r="CV102" i="7"/>
  <c r="CV110" i="7"/>
  <c r="CY132" i="7"/>
  <c r="CV73" i="7"/>
  <c r="CX187" i="7"/>
  <c r="CV197" i="7"/>
  <c r="CV189" i="7"/>
  <c r="CV91" i="7"/>
  <c r="CV173" i="7"/>
  <c r="CV164" i="7"/>
  <c r="CX153" i="7"/>
  <c r="CW153" i="7"/>
  <c r="CV153" i="7"/>
  <c r="CX171" i="7"/>
  <c r="CW171" i="7"/>
  <c r="CX159" i="7"/>
  <c r="CW73" i="7"/>
  <c r="CV150" i="7"/>
  <c r="CV163" i="7"/>
  <c r="CW114" i="7"/>
  <c r="CV179" i="7"/>
  <c r="CX164" i="7"/>
  <c r="CV60" i="7"/>
  <c r="CX163" i="7"/>
  <c r="CX111" i="7"/>
  <c r="CW111" i="7"/>
  <c r="CW127" i="7"/>
  <c r="CW87" i="7"/>
  <c r="CW184" i="7"/>
  <c r="CX197" i="7"/>
  <c r="CX89" i="7"/>
  <c r="CV158" i="7"/>
  <c r="CV96" i="7"/>
  <c r="CZ132" i="7"/>
  <c r="DB132" i="7" s="1"/>
  <c r="CX204" i="7"/>
  <c r="CW103" i="7"/>
  <c r="CW187" i="7"/>
  <c r="CX110" i="7"/>
  <c r="CX189" i="7"/>
  <c r="CX200" i="7"/>
  <c r="CW200" i="7"/>
  <c r="CV200" i="7"/>
  <c r="CW107" i="7"/>
  <c r="CV167" i="7"/>
  <c r="CX64" i="7"/>
  <c r="CX185" i="7"/>
  <c r="CX73" i="7"/>
  <c r="CW88" i="7"/>
  <c r="CW160" i="7"/>
  <c r="CW58" i="7"/>
  <c r="CV89" i="7"/>
  <c r="CV88" i="7"/>
  <c r="CW144" i="7"/>
  <c r="CV142" i="7"/>
  <c r="CW93" i="7"/>
  <c r="CV117" i="7"/>
  <c r="CX175" i="7"/>
  <c r="CX179" i="7"/>
  <c r="CX191" i="7"/>
  <c r="CV159" i="7"/>
  <c r="CX152" i="7"/>
  <c r="CX114" i="7"/>
  <c r="CV198" i="7"/>
  <c r="CV203" i="7"/>
  <c r="CQ172" i="7"/>
  <c r="CW91" i="7"/>
  <c r="CW109" i="7"/>
  <c r="CV192" i="7"/>
  <c r="CR72" i="7"/>
  <c r="CU72" i="7" s="1"/>
  <c r="CX72" i="7" s="1"/>
  <c r="CV194" i="7"/>
  <c r="CV99" i="7"/>
  <c r="CY99" i="7" s="1"/>
  <c r="CV81" i="7"/>
  <c r="CV93" i="7"/>
  <c r="CX58" i="7"/>
  <c r="CX102" i="7"/>
  <c r="CV155" i="7"/>
  <c r="CW155" i="7"/>
  <c r="CX155" i="7"/>
  <c r="CW186" i="7"/>
  <c r="CW95" i="7"/>
  <c r="CP172" i="7"/>
  <c r="CS172" i="7" s="1"/>
  <c r="CT172" i="7" s="1"/>
  <c r="CV87" i="7"/>
  <c r="CV160" i="7"/>
  <c r="CX142" i="7"/>
  <c r="CX100" i="7"/>
  <c r="CW152" i="7"/>
  <c r="CU202" i="7"/>
  <c r="CW158" i="7"/>
  <c r="CW203" i="7"/>
  <c r="CX198" i="7"/>
  <c r="CV175" i="7"/>
  <c r="CX158" i="7"/>
  <c r="CW96" i="7"/>
  <c r="CX186" i="7"/>
  <c r="CW161" i="7"/>
  <c r="CX70" i="7"/>
  <c r="CX90" i="7"/>
  <c r="CX103" i="7"/>
  <c r="CX91" i="7"/>
  <c r="CV107" i="7"/>
  <c r="CX60" i="7"/>
  <c r="CV184" i="7"/>
  <c r="CV144" i="7"/>
  <c r="CV131" i="7"/>
  <c r="CW175" i="7"/>
  <c r="CW192" i="7"/>
  <c r="CW70" i="7"/>
  <c r="CV109" i="7"/>
  <c r="CX107" i="7"/>
  <c r="CW196" i="7"/>
  <c r="CV113" i="7"/>
  <c r="CX184" i="7"/>
  <c r="CV152" i="7"/>
  <c r="CX150" i="7"/>
  <c r="CX76" i="7"/>
  <c r="CV57" i="7"/>
  <c r="CW164" i="7"/>
  <c r="CV83" i="7"/>
  <c r="CX57" i="7"/>
  <c r="CX99" i="7"/>
  <c r="CX104" i="7"/>
  <c r="CU177" i="7"/>
  <c r="CW177" i="7" s="1"/>
  <c r="CU75" i="7"/>
  <c r="CU138" i="7"/>
  <c r="CW138" i="7" s="1"/>
  <c r="CU141" i="7"/>
  <c r="CX141" i="7" s="1"/>
  <c r="CU140" i="7"/>
  <c r="CW140" i="7" s="1"/>
  <c r="CU74" i="7"/>
  <c r="CX74" i="7" s="1"/>
  <c r="CU137" i="7"/>
  <c r="CU176" i="7"/>
  <c r="CW176" i="7" s="1"/>
  <c r="CU136" i="7"/>
  <c r="CW136" i="7" s="1"/>
  <c r="CW149" i="7"/>
  <c r="CV149" i="7"/>
  <c r="CU65" i="7"/>
  <c r="CW65" i="7" s="1"/>
  <c r="CX170" i="7"/>
  <c r="CW170" i="7"/>
  <c r="CW163" i="7"/>
  <c r="CV127" i="7"/>
  <c r="CX173" i="7"/>
  <c r="CU174" i="7"/>
  <c r="CX174" i="7" s="1"/>
  <c r="CU97" i="7"/>
  <c r="CU79" i="7"/>
  <c r="CX79" i="7" s="1"/>
  <c r="CU77" i="7"/>
  <c r="CU183" i="7"/>
  <c r="CU139" i="7"/>
  <c r="CX139" i="7" s="1"/>
  <c r="CV116" i="7"/>
  <c r="CW116" i="7"/>
  <c r="CW66" i="7"/>
  <c r="CV66" i="7"/>
  <c r="CU123" i="7"/>
  <c r="CW123" i="7" s="1"/>
  <c r="CU63" i="7"/>
  <c r="CW63" i="7" s="1"/>
  <c r="CU172" i="7"/>
  <c r="CW150" i="7"/>
  <c r="CW167" i="7"/>
  <c r="CW204" i="7"/>
  <c r="CX196" i="7"/>
  <c r="CV185" i="7"/>
  <c r="CW173" i="7"/>
  <c r="CV76" i="7"/>
  <c r="CX194" i="7"/>
  <c r="CW57" i="7"/>
  <c r="CX131" i="7"/>
  <c r="CU146" i="7"/>
  <c r="CW146" i="7" s="1"/>
  <c r="CU134" i="7"/>
  <c r="CX134" i="7" s="1"/>
  <c r="CU120" i="7"/>
  <c r="CW120" i="7" s="1"/>
  <c r="CU71" i="7"/>
  <c r="CU61" i="7"/>
  <c r="CW61" i="7" s="1"/>
  <c r="CY199" i="7"/>
  <c r="CZ199" i="7"/>
  <c r="DB199" i="7" s="1"/>
  <c r="CU165" i="7"/>
  <c r="CW165" i="7" s="1"/>
  <c r="CU195" i="7"/>
  <c r="CW195" i="7" s="1"/>
  <c r="CU129" i="7"/>
  <c r="CW129" i="7" s="1"/>
  <c r="CU147" i="7"/>
  <c r="CV101" i="7"/>
  <c r="CW101" i="7"/>
  <c r="CV104" i="7"/>
  <c r="CW94" i="7"/>
  <c r="CV95" i="7"/>
  <c r="CV103" i="7"/>
  <c r="CX94" i="7"/>
  <c r="CW131" i="7"/>
  <c r="CW104" i="7"/>
  <c r="CX82" i="7"/>
  <c r="CW194" i="7"/>
  <c r="CP122" i="7"/>
  <c r="CS122" i="7" s="1"/>
  <c r="CT122" i="7" s="1"/>
  <c r="CV111" i="7"/>
  <c r="CY68" i="7"/>
  <c r="CU130" i="7"/>
  <c r="CX130" i="7" s="1"/>
  <c r="CV148" i="7"/>
  <c r="CW148" i="7"/>
  <c r="CU115" i="7"/>
  <c r="CX115" i="7" s="1"/>
  <c r="CU205" i="7"/>
  <c r="CW205" i="7" s="1"/>
  <c r="CU108" i="7"/>
  <c r="CW108" i="7" s="1"/>
  <c r="DB162" i="7"/>
  <c r="DA162" i="7"/>
  <c r="CU154" i="7"/>
  <c r="CW154" i="7" s="1"/>
  <c r="CU143" i="7"/>
  <c r="CW143" i="7" s="1"/>
  <c r="CU122" i="7"/>
  <c r="CV90" i="7"/>
  <c r="CW90" i="7"/>
  <c r="CV196" i="7"/>
  <c r="CX96" i="7"/>
  <c r="CV85" i="7"/>
  <c r="CV161" i="7"/>
  <c r="CU135" i="7"/>
  <c r="CX135" i="7" s="1"/>
  <c r="CU126" i="7"/>
  <c r="CW126" i="7" s="1"/>
  <c r="CU106" i="7"/>
  <c r="CW106" i="7" s="1"/>
  <c r="CU67" i="7"/>
  <c r="CW67" i="7" s="1"/>
  <c r="CU59" i="7"/>
  <c r="CW59" i="7" s="1"/>
  <c r="CV78" i="7"/>
  <c r="CW78" i="7"/>
  <c r="CU105" i="7"/>
  <c r="CW105" i="7" s="1"/>
  <c r="CU145" i="7"/>
  <c r="CX145" i="7" s="1"/>
  <c r="CU133" i="7"/>
  <c r="CX133" i="7" s="1"/>
  <c r="CV151" i="7"/>
  <c r="CW151" i="7"/>
  <c r="CU206" i="7"/>
  <c r="CW206" i="7" s="1"/>
  <c r="CU121" i="7"/>
  <c r="CW121" i="7" s="1"/>
  <c r="CW178" i="7"/>
  <c r="CV178" i="7"/>
  <c r="CU193" i="7"/>
  <c r="CW193" i="7" s="1"/>
  <c r="CY182" i="7"/>
  <c r="CZ182" i="7"/>
  <c r="DB182" i="7" s="1"/>
  <c r="CU181" i="7"/>
  <c r="CX181" i="7" s="1"/>
  <c r="CW85" i="7"/>
  <c r="CW142" i="7"/>
  <c r="CW83" i="7"/>
  <c r="CW113" i="7"/>
  <c r="CQ122" i="7"/>
  <c r="CV204" i="7"/>
  <c r="CV171" i="7"/>
  <c r="CX167" i="7"/>
  <c r="CU190" i="7"/>
  <c r="CW190" i="7" s="1"/>
  <c r="CU124" i="7"/>
  <c r="CX124" i="7" s="1"/>
  <c r="CU84" i="7"/>
  <c r="CY201" i="7"/>
  <c r="CZ201" i="7"/>
  <c r="DB201" i="7" s="1"/>
  <c r="CU125" i="7"/>
  <c r="CW125" i="7" s="1"/>
  <c r="CX156" i="7"/>
  <c r="CX78" i="7"/>
  <c r="CW156" i="7"/>
  <c r="CX151" i="7"/>
  <c r="CX178" i="7"/>
  <c r="CX95" i="7"/>
  <c r="CX149" i="7"/>
  <c r="CX69" i="7"/>
  <c r="CV100" i="7"/>
  <c r="CQ72" i="7"/>
  <c r="CZ112" i="7" l="1"/>
  <c r="DB112" i="7"/>
  <c r="AE149" i="3"/>
  <c r="AE151" i="3" s="1"/>
  <c r="AE148" i="3"/>
  <c r="AK148" i="3"/>
  <c r="AI148" i="3"/>
  <c r="AI147" i="3"/>
  <c r="AI150" i="3" s="1"/>
  <c r="AI152" i="3" s="1"/>
  <c r="AM148" i="3"/>
  <c r="AM147" i="3"/>
  <c r="AM150" i="3" s="1"/>
  <c r="AM152" i="3" s="1"/>
  <c r="DA112" i="7"/>
  <c r="AH147" i="3"/>
  <c r="AH150" i="3" s="1"/>
  <c r="AH152" i="3" s="1"/>
  <c r="AL148" i="3"/>
  <c r="AH148" i="3"/>
  <c r="AF146" i="3"/>
  <c r="AF148" i="3" s="1"/>
  <c r="AK147" i="3"/>
  <c r="AK150" i="3" s="1"/>
  <c r="AK152" i="3" s="1"/>
  <c r="AG32" i="3"/>
  <c r="AG31" i="3"/>
  <c r="AG34" i="3" s="1"/>
  <c r="W22" i="3" s="1"/>
  <c r="AF30" i="3"/>
  <c r="AF31" i="3" s="1"/>
  <c r="AF34" i="3" s="1"/>
  <c r="W18" i="3" s="1"/>
  <c r="AL147" i="3"/>
  <c r="AL150" i="3" s="1"/>
  <c r="AL152" i="3" s="1"/>
  <c r="AN146" i="3"/>
  <c r="AN149" i="3" s="1"/>
  <c r="AN151" i="3" s="1"/>
  <c r="CY112" i="7"/>
  <c r="CV157" i="7"/>
  <c r="CW157" i="7"/>
  <c r="CY157" i="7" s="1"/>
  <c r="BJ29" i="3"/>
  <c r="BJ30" i="3" s="1"/>
  <c r="BJ33" i="3" s="1"/>
  <c r="BJ35" i="3" s="1"/>
  <c r="AX122" i="3"/>
  <c r="AX123" i="3" s="1"/>
  <c r="AX124" i="3" s="1"/>
  <c r="AX127" i="3" s="1"/>
  <c r="AX129" i="3" s="1"/>
  <c r="AX74" i="3"/>
  <c r="AX76" i="3" s="1"/>
  <c r="AX77" i="3" s="1"/>
  <c r="AX78" i="3" s="1"/>
  <c r="AX81" i="3" s="1"/>
  <c r="W84" i="3" s="1"/>
  <c r="BC97" i="3"/>
  <c r="BC99" i="3" s="1"/>
  <c r="BC100" i="3" s="1"/>
  <c r="BC101" i="3" s="1"/>
  <c r="BC104" i="3" s="1"/>
  <c r="BC106" i="3" s="1"/>
  <c r="BJ76" i="3"/>
  <c r="BJ77" i="3" s="1"/>
  <c r="BJ78" i="3" s="1"/>
  <c r="BJ81" i="3" s="1"/>
  <c r="BJ83" i="3" s="1"/>
  <c r="BM65" i="3" s="1"/>
  <c r="BM69" i="3" s="1"/>
  <c r="AE168" i="3"/>
  <c r="AE169" i="3" s="1"/>
  <c r="AE170" i="3" s="1"/>
  <c r="AE173" i="3" s="1"/>
  <c r="BB99" i="3"/>
  <c r="BB100" i="3" s="1"/>
  <c r="BB102" i="3" s="1"/>
  <c r="AF166" i="3"/>
  <c r="AF168" i="3" s="1"/>
  <c r="AF169" i="3" s="1"/>
  <c r="AF170" i="3" s="1"/>
  <c r="AF173" i="3" s="1"/>
  <c r="AF175" i="3" s="1"/>
  <c r="BA99" i="3"/>
  <c r="BA100" i="3" s="1"/>
  <c r="BA102" i="3" s="1"/>
  <c r="AZ122" i="3"/>
  <c r="AZ123" i="3" s="1"/>
  <c r="AZ125" i="3" s="1"/>
  <c r="AK166" i="3"/>
  <c r="AK168" i="3" s="1"/>
  <c r="BD97" i="3"/>
  <c r="BD99" i="3" s="1"/>
  <c r="BD100" i="3" s="1"/>
  <c r="BD103" i="3" s="1"/>
  <c r="BD105" i="3" s="1"/>
  <c r="BF122" i="3"/>
  <c r="BF123" i="3" s="1"/>
  <c r="BF125" i="3" s="1"/>
  <c r="AI168" i="3"/>
  <c r="AI169" i="3" s="1"/>
  <c r="AI170" i="3" s="1"/>
  <c r="AI173" i="3" s="1"/>
  <c r="AI175" i="3" s="1"/>
  <c r="BH99" i="3"/>
  <c r="BH100" i="3" s="1"/>
  <c r="BH102" i="3" s="1"/>
  <c r="AL168" i="3"/>
  <c r="AL169" i="3" s="1"/>
  <c r="AL172" i="3" s="1"/>
  <c r="AL174" i="3" s="1"/>
  <c r="AM168" i="3"/>
  <c r="AM169" i="3" s="1"/>
  <c r="AM171" i="3" s="1"/>
  <c r="AY99" i="3"/>
  <c r="AY100" i="3" s="1"/>
  <c r="AY102" i="3" s="1"/>
  <c r="BE99" i="3"/>
  <c r="BE100" i="3" s="1"/>
  <c r="BE103" i="3" s="1"/>
  <c r="BE105" i="3" s="1"/>
  <c r="AM27" i="3"/>
  <c r="AM29" i="3" s="1"/>
  <c r="AM30" i="3" s="1"/>
  <c r="AM31" i="3" s="1"/>
  <c r="AM34" i="3" s="1"/>
  <c r="BF97" i="3"/>
  <c r="BF99" i="3" s="1"/>
  <c r="AZ99" i="3"/>
  <c r="AZ100" i="3" s="1"/>
  <c r="AZ101" i="3" s="1"/>
  <c r="AZ104" i="3" s="1"/>
  <c r="AZ106" i="3" s="1"/>
  <c r="BJ53" i="3"/>
  <c r="BJ54" i="3" s="1"/>
  <c r="BJ55" i="3" s="1"/>
  <c r="BJ58" i="3" s="1"/>
  <c r="BJ60" i="3" s="1"/>
  <c r="BH122" i="3"/>
  <c r="BH123" i="3" s="1"/>
  <c r="BH124" i="3" s="1"/>
  <c r="BH127" i="3" s="1"/>
  <c r="BH129" i="3" s="1"/>
  <c r="BA122" i="3"/>
  <c r="BA123" i="3" s="1"/>
  <c r="BA125" i="3" s="1"/>
  <c r="AG168" i="3"/>
  <c r="AG169" i="3" s="1"/>
  <c r="AG170" i="3" s="1"/>
  <c r="AG173" i="3" s="1"/>
  <c r="AG175" i="3" s="1"/>
  <c r="AX51" i="3"/>
  <c r="AX53" i="3" s="1"/>
  <c r="AX54" i="3" s="1"/>
  <c r="AX56" i="3" s="1"/>
  <c r="AN188" i="3"/>
  <c r="AN189" i="3" s="1"/>
  <c r="AY53" i="3"/>
  <c r="AY54" i="3" s="1"/>
  <c r="AY55" i="3" s="1"/>
  <c r="AY58" i="3" s="1"/>
  <c r="AY60" i="3" s="1"/>
  <c r="BB42" i="3" s="1"/>
  <c r="BB46" i="3" s="1"/>
  <c r="BC120" i="3"/>
  <c r="BC122" i="3" s="1"/>
  <c r="BC123" i="3" s="1"/>
  <c r="BC126" i="3" s="1"/>
  <c r="BC128" i="3" s="1"/>
  <c r="AG187" i="3"/>
  <c r="AG189" i="3" s="1"/>
  <c r="BI122" i="3"/>
  <c r="BI123" i="3" s="1"/>
  <c r="BI125" i="3" s="1"/>
  <c r="AG190" i="3"/>
  <c r="AO168" i="3"/>
  <c r="AO169" i="3" s="1"/>
  <c r="AO172" i="3" s="1"/>
  <c r="AO174" i="3" s="1"/>
  <c r="BG99" i="3"/>
  <c r="BG100" i="3" s="1"/>
  <c r="BG103" i="3" s="1"/>
  <c r="BG105" i="3" s="1"/>
  <c r="AX27" i="3"/>
  <c r="AX29" i="3" s="1"/>
  <c r="AN190" i="3"/>
  <c r="AY76" i="3"/>
  <c r="AY77" i="3" s="1"/>
  <c r="AY78" i="3" s="1"/>
  <c r="AY81" i="3" s="1"/>
  <c r="AY83" i="3" s="1"/>
  <c r="BC65" i="3" s="1"/>
  <c r="BC69" i="3" s="1"/>
  <c r="AH166" i="3"/>
  <c r="AH168" i="3" s="1"/>
  <c r="AH169" i="3" s="1"/>
  <c r="AH171" i="3" s="1"/>
  <c r="AF190" i="3"/>
  <c r="AP188" i="3"/>
  <c r="AP189" i="3" s="1"/>
  <c r="AJ166" i="3"/>
  <c r="AJ168" i="3" s="1"/>
  <c r="AX97" i="3"/>
  <c r="AX99" i="3" s="1"/>
  <c r="AX100" i="3" s="1"/>
  <c r="AX102" i="3" s="1"/>
  <c r="AJ187" i="3"/>
  <c r="AJ189" i="3" s="1"/>
  <c r="BG122" i="3"/>
  <c r="BG123" i="3" s="1"/>
  <c r="BG126" i="3" s="1"/>
  <c r="BG128" i="3" s="1"/>
  <c r="AY122" i="3"/>
  <c r="AY123" i="3" s="1"/>
  <c r="AY126" i="3" s="1"/>
  <c r="AY128" i="3" s="1"/>
  <c r="BB122" i="3"/>
  <c r="BB123" i="3" s="1"/>
  <c r="BB126" i="3" s="1"/>
  <c r="BB128" i="3" s="1"/>
  <c r="AP190" i="3"/>
  <c r="AN168" i="3"/>
  <c r="AN169" i="3" s="1"/>
  <c r="AN172" i="3" s="1"/>
  <c r="AN174" i="3" s="1"/>
  <c r="AI187" i="3"/>
  <c r="AI189" i="3" s="1"/>
  <c r="BE122" i="3"/>
  <c r="BE123" i="3" s="1"/>
  <c r="BE125" i="3" s="1"/>
  <c r="AI190" i="3"/>
  <c r="AH190" i="3"/>
  <c r="AH188" i="3"/>
  <c r="AH189" i="3" s="1"/>
  <c r="AL188" i="3"/>
  <c r="AL189" i="3" s="1"/>
  <c r="AK187" i="3"/>
  <c r="AL190" i="3"/>
  <c r="AK188" i="3"/>
  <c r="AO190" i="3"/>
  <c r="AO188" i="3"/>
  <c r="AO189" i="3" s="1"/>
  <c r="AE190" i="3"/>
  <c r="BD122" i="3"/>
  <c r="BD123" i="3" s="1"/>
  <c r="BD124" i="3" s="1"/>
  <c r="BD127" i="3" s="1"/>
  <c r="BD129" i="3" s="1"/>
  <c r="AM190" i="3"/>
  <c r="AM187" i="3"/>
  <c r="AM189" i="3" s="1"/>
  <c r="BI99" i="3"/>
  <c r="BI100" i="3" s="1"/>
  <c r="BI103" i="3" s="1"/>
  <c r="BI105" i="3" s="1"/>
  <c r="AE187" i="3"/>
  <c r="AE189" i="3" s="1"/>
  <c r="AF188" i="3"/>
  <c r="AF189" i="3" s="1"/>
  <c r="AJ190" i="3"/>
  <c r="AS26" i="3"/>
  <c r="AS27" i="3" s="1"/>
  <c r="AY27" i="3"/>
  <c r="AY29" i="3" s="1"/>
  <c r="AY30" i="3" s="1"/>
  <c r="AY31" i="3" s="1"/>
  <c r="AY34" i="3" s="1"/>
  <c r="AY36" i="3" s="1"/>
  <c r="BC13" i="3" s="1"/>
  <c r="BC17" i="3" s="1"/>
  <c r="AL27" i="3"/>
  <c r="AL29" i="3" s="1"/>
  <c r="AL30" i="3" s="1"/>
  <c r="AL33" i="3" s="1"/>
  <c r="AS28" i="3"/>
  <c r="AR28" i="3"/>
  <c r="AR26" i="3"/>
  <c r="AR27" i="3" s="1"/>
  <c r="CY166" i="7"/>
  <c r="AP168" i="3"/>
  <c r="AP169" i="3" s="1"/>
  <c r="AP172" i="3" s="1"/>
  <c r="AP174" i="3" s="1"/>
  <c r="AP145" i="3"/>
  <c r="AP146" i="3" s="1"/>
  <c r="AQ165" i="3"/>
  <c r="AQ166" i="3" s="1"/>
  <c r="AQ167" i="3"/>
  <c r="AQ142" i="3"/>
  <c r="AQ143" i="3" s="1"/>
  <c r="AQ144" i="3"/>
  <c r="AQ190" i="3"/>
  <c r="AQ188" i="3"/>
  <c r="AQ189" i="3" s="1"/>
  <c r="AR186" i="3"/>
  <c r="AR185" i="3"/>
  <c r="AS181" i="3"/>
  <c r="AS158" i="3"/>
  <c r="AR163" i="3"/>
  <c r="AR162" i="3"/>
  <c r="AR140" i="3"/>
  <c r="AS135" i="3"/>
  <c r="AR139" i="3"/>
  <c r="O632" i="6"/>
  <c r="N632" i="6"/>
  <c r="P632" i="6"/>
  <c r="AR632" i="6"/>
  <c r="AO148" i="3"/>
  <c r="AO149" i="3"/>
  <c r="AO151" i="3" s="1"/>
  <c r="AO147" i="3"/>
  <c r="AO150" i="3" s="1"/>
  <c r="AJ149" i="3"/>
  <c r="AJ151" i="3" s="1"/>
  <c r="AJ148" i="3"/>
  <c r="AJ147" i="3"/>
  <c r="AJ150" i="3" s="1"/>
  <c r="AG148" i="3"/>
  <c r="AG147" i="3"/>
  <c r="AG150" i="3" s="1"/>
  <c r="AG152" i="3" s="1"/>
  <c r="AG149" i="3"/>
  <c r="AG151" i="3" s="1"/>
  <c r="CZ98" i="7"/>
  <c r="DB98" i="7" s="1"/>
  <c r="CY98" i="7"/>
  <c r="CY198" i="7"/>
  <c r="CZ118" i="7"/>
  <c r="DB118" i="7" s="1"/>
  <c r="CV180" i="7"/>
  <c r="CY118" i="7"/>
  <c r="CY169" i="7"/>
  <c r="CW180" i="7"/>
  <c r="CW92" i="7"/>
  <c r="CX180" i="7"/>
  <c r="CZ168" i="7"/>
  <c r="DB168" i="7" s="1"/>
  <c r="Y22" i="3"/>
  <c r="AG35" i="3"/>
  <c r="CY76" i="7"/>
  <c r="CY82" i="7"/>
  <c r="CX92" i="7"/>
  <c r="CV92" i="7"/>
  <c r="CY119" i="7"/>
  <c r="CY168" i="7"/>
  <c r="CZ169" i="7"/>
  <c r="DA169" i="7" s="1"/>
  <c r="DC169" i="7" s="1"/>
  <c r="DD169" i="7" s="1"/>
  <c r="CZ119" i="7"/>
  <c r="DB119" i="7" s="1"/>
  <c r="CZ58" i="7"/>
  <c r="DB58" i="7" s="1"/>
  <c r="CY160" i="7"/>
  <c r="CZ200" i="7"/>
  <c r="DA200" i="7" s="1"/>
  <c r="CZ185" i="7"/>
  <c r="DB185" i="7" s="1"/>
  <c r="CZ91" i="7"/>
  <c r="DA91" i="7" s="1"/>
  <c r="CZ89" i="7"/>
  <c r="DB89" i="7" s="1"/>
  <c r="CY87" i="7"/>
  <c r="CY114" i="7"/>
  <c r="CY184" i="7"/>
  <c r="CY189" i="7"/>
  <c r="CZ171" i="7"/>
  <c r="DB171" i="7" s="1"/>
  <c r="CZ191" i="7"/>
  <c r="DB191" i="7" s="1"/>
  <c r="CZ166" i="7"/>
  <c r="DB166" i="7" s="1"/>
  <c r="CZ102" i="7"/>
  <c r="DB102" i="7" s="1"/>
  <c r="CY100" i="7"/>
  <c r="CY191" i="7"/>
  <c r="CZ188" i="7"/>
  <c r="DB188" i="7" s="1"/>
  <c r="CY64" i="7"/>
  <c r="CY58" i="7"/>
  <c r="CZ153" i="7"/>
  <c r="DB153" i="7" s="1"/>
  <c r="CZ117" i="7"/>
  <c r="DB117" i="7" s="1"/>
  <c r="CY127" i="7"/>
  <c r="CY175" i="7"/>
  <c r="CY117" i="7"/>
  <c r="CY186" i="7"/>
  <c r="CZ161" i="7"/>
  <c r="DB161" i="7" s="1"/>
  <c r="DB68" i="7"/>
  <c r="CY153" i="7"/>
  <c r="CY197" i="7"/>
  <c r="CZ69" i="7"/>
  <c r="DA69" i="7" s="1"/>
  <c r="DJ69" i="7" s="1"/>
  <c r="CY89" i="7"/>
  <c r="CY188" i="7"/>
  <c r="DA62" i="7"/>
  <c r="DJ62" i="7" s="1"/>
  <c r="CZ64" i="7"/>
  <c r="DB64" i="7" s="1"/>
  <c r="CY93" i="7"/>
  <c r="CY109" i="7"/>
  <c r="CZ110" i="7"/>
  <c r="DB110" i="7" s="1"/>
  <c r="CZ197" i="7"/>
  <c r="DB197" i="7" s="1"/>
  <c r="CY69" i="7"/>
  <c r="CY88" i="7"/>
  <c r="CY187" i="7"/>
  <c r="CY179" i="7"/>
  <c r="CY110" i="7"/>
  <c r="CZ70" i="7"/>
  <c r="DA70" i="7" s="1"/>
  <c r="CV205" i="7"/>
  <c r="CY205" i="7" s="1"/>
  <c r="CV63" i="7"/>
  <c r="CZ63" i="7" s="1"/>
  <c r="CZ114" i="7"/>
  <c r="DB114" i="7" s="1"/>
  <c r="CY86" i="7"/>
  <c r="CZ189" i="7"/>
  <c r="DB189" i="7" s="1"/>
  <c r="CY203" i="7"/>
  <c r="CW172" i="7"/>
  <c r="CZ164" i="7"/>
  <c r="DB164" i="7" s="1"/>
  <c r="CY159" i="7"/>
  <c r="DA128" i="7"/>
  <c r="DJ128" i="7" s="1"/>
  <c r="CZ198" i="7"/>
  <c r="DB198" i="7" s="1"/>
  <c r="CY200" i="7"/>
  <c r="CZ111" i="7"/>
  <c r="DB111" i="7" s="1"/>
  <c r="CY70" i="7"/>
  <c r="CZ82" i="7"/>
  <c r="DB82" i="7" s="1"/>
  <c r="CY164" i="7"/>
  <c r="CY144" i="7"/>
  <c r="CZ86" i="7"/>
  <c r="DB86" i="7" s="1"/>
  <c r="DA132" i="7"/>
  <c r="DJ132" i="7" s="1"/>
  <c r="CZ73" i="7"/>
  <c r="DB73" i="7" s="1"/>
  <c r="CV129" i="7"/>
  <c r="CY129" i="7" s="1"/>
  <c r="CV140" i="7"/>
  <c r="CZ140" i="7" s="1"/>
  <c r="CV123" i="7"/>
  <c r="CY123" i="7" s="1"/>
  <c r="CY192" i="7"/>
  <c r="CY96" i="7"/>
  <c r="CY81" i="7"/>
  <c r="CZ203" i="7"/>
  <c r="DB203" i="7" s="1"/>
  <c r="CZ87" i="7"/>
  <c r="DB87" i="7" s="1"/>
  <c r="CZ93" i="7"/>
  <c r="DB93" i="7" s="1"/>
  <c r="CY158" i="7"/>
  <c r="CY73" i="7"/>
  <c r="CZ159" i="7"/>
  <c r="DB159" i="7" s="1"/>
  <c r="CZ187" i="7"/>
  <c r="DB187" i="7" s="1"/>
  <c r="CY102" i="7"/>
  <c r="CZ88" i="7"/>
  <c r="DB88" i="7" s="1"/>
  <c r="CZ160" i="7"/>
  <c r="DB160" i="7" s="1"/>
  <c r="CZ99" i="7"/>
  <c r="DB99" i="7" s="1"/>
  <c r="CZ109" i="7"/>
  <c r="DB109" i="7" s="1"/>
  <c r="CV177" i="7"/>
  <c r="CZ177" i="7" s="1"/>
  <c r="CZ192" i="7"/>
  <c r="CZ107" i="7"/>
  <c r="DB107" i="7" s="1"/>
  <c r="CZ186" i="7"/>
  <c r="DB186" i="7" s="1"/>
  <c r="CZ179" i="7"/>
  <c r="DB179" i="7" s="1"/>
  <c r="CV65" i="7"/>
  <c r="CZ65" i="7" s="1"/>
  <c r="CZ158" i="7"/>
  <c r="DB158" i="7" s="1"/>
  <c r="CZ95" i="7"/>
  <c r="DB95" i="7" s="1"/>
  <c r="CZ144" i="7"/>
  <c r="DB144" i="7" s="1"/>
  <c r="CZ103" i="7"/>
  <c r="DA103" i="7" s="1"/>
  <c r="CV61" i="7"/>
  <c r="CY61" i="7" s="1"/>
  <c r="CV143" i="7"/>
  <c r="CY143" i="7" s="1"/>
  <c r="CZ81" i="7"/>
  <c r="DB81" i="7" s="1"/>
  <c r="CZ127" i="7"/>
  <c r="DB127" i="7" s="1"/>
  <c r="CV172" i="7"/>
  <c r="CZ96" i="7"/>
  <c r="DA96" i="7" s="1"/>
  <c r="CV121" i="7"/>
  <c r="CY121" i="7" s="1"/>
  <c r="CX172" i="7"/>
  <c r="CY91" i="7"/>
  <c r="CV136" i="7"/>
  <c r="CY136" i="7" s="1"/>
  <c r="CZ184" i="7"/>
  <c r="CV138" i="7"/>
  <c r="CY138" i="7" s="1"/>
  <c r="CX154" i="7"/>
  <c r="CX122" i="7"/>
  <c r="CX177" i="7"/>
  <c r="CX195" i="7"/>
  <c r="CZ175" i="7"/>
  <c r="DB175" i="7" s="1"/>
  <c r="CV190" i="7"/>
  <c r="CY190" i="7" s="1"/>
  <c r="CX59" i="7"/>
  <c r="CZ155" i="7"/>
  <c r="DA155" i="7" s="1"/>
  <c r="DA199" i="7"/>
  <c r="DC199" i="7" s="1"/>
  <c r="DD199" i="7" s="1"/>
  <c r="DE199" i="7" s="1"/>
  <c r="CW122" i="7"/>
  <c r="CX120" i="7"/>
  <c r="CZ152" i="7"/>
  <c r="CY152" i="7"/>
  <c r="CW202" i="7"/>
  <c r="CV202" i="7"/>
  <c r="CV126" i="7"/>
  <c r="CY126" i="7" s="1"/>
  <c r="CV106" i="7"/>
  <c r="CZ106" i="7" s="1"/>
  <c r="CX108" i="7"/>
  <c r="CY155" i="7"/>
  <c r="CV67" i="7"/>
  <c r="CZ67" i="7" s="1"/>
  <c r="CX106" i="7"/>
  <c r="CZ196" i="7"/>
  <c r="DB196" i="7" s="1"/>
  <c r="CY107" i="7"/>
  <c r="CX202" i="7"/>
  <c r="CV176" i="7"/>
  <c r="CZ176" i="7" s="1"/>
  <c r="CX125" i="7"/>
  <c r="CX190" i="7"/>
  <c r="CX138" i="7"/>
  <c r="CW133" i="7"/>
  <c r="CV133" i="7"/>
  <c r="CY94" i="7"/>
  <c r="CZ94" i="7"/>
  <c r="DB94" i="7" s="1"/>
  <c r="CY150" i="7"/>
  <c r="CZ150" i="7"/>
  <c r="CW139" i="7"/>
  <c r="CV139" i="7"/>
  <c r="CW174" i="7"/>
  <c r="CV174" i="7"/>
  <c r="DJ68" i="7"/>
  <c r="DC68" i="7"/>
  <c r="DD68" i="7" s="1"/>
  <c r="DE68" i="7" s="1"/>
  <c r="CV125" i="7"/>
  <c r="CZ125" i="7" s="1"/>
  <c r="CW72" i="7"/>
  <c r="CX121" i="7"/>
  <c r="CX105" i="7"/>
  <c r="CV206" i="7"/>
  <c r="CZ206" i="7" s="1"/>
  <c r="CX143" i="7"/>
  <c r="CX205" i="7"/>
  <c r="CY171" i="7"/>
  <c r="CV122" i="7"/>
  <c r="DA182" i="7"/>
  <c r="CV72" i="7"/>
  <c r="CV146" i="7"/>
  <c r="CZ146" i="7" s="1"/>
  <c r="CX65" i="7"/>
  <c r="CX176" i="7"/>
  <c r="CX140" i="7"/>
  <c r="CZ76" i="7"/>
  <c r="CZ100" i="7"/>
  <c r="CY111" i="7"/>
  <c r="DC112" i="7"/>
  <c r="DD112" i="7" s="1"/>
  <c r="DE112" i="7" s="1"/>
  <c r="DJ112" i="7"/>
  <c r="CW84" i="7"/>
  <c r="CV84" i="7"/>
  <c r="CY131" i="7"/>
  <c r="CZ131" i="7"/>
  <c r="DB131" i="7" s="1"/>
  <c r="CY173" i="7"/>
  <c r="CZ173" i="7"/>
  <c r="DB173" i="7" s="1"/>
  <c r="CY204" i="7"/>
  <c r="CZ204" i="7"/>
  <c r="CV77" i="7"/>
  <c r="CW77" i="7"/>
  <c r="CV97" i="7"/>
  <c r="CW97" i="7"/>
  <c r="CV154" i="7"/>
  <c r="CZ154" i="7" s="1"/>
  <c r="CV120" i="7"/>
  <c r="CZ120" i="7" s="1"/>
  <c r="CY95" i="7"/>
  <c r="CY113" i="7"/>
  <c r="CZ113" i="7"/>
  <c r="CW181" i="7"/>
  <c r="CV181" i="7"/>
  <c r="CY178" i="7"/>
  <c r="CZ178" i="7"/>
  <c r="DB178" i="7" s="1"/>
  <c r="CV135" i="7"/>
  <c r="CW135" i="7"/>
  <c r="CY104" i="7"/>
  <c r="CZ104" i="7"/>
  <c r="CY57" i="7"/>
  <c r="CZ57" i="7"/>
  <c r="CY167" i="7"/>
  <c r="CZ167" i="7"/>
  <c r="DB167" i="7" s="1"/>
  <c r="CY116" i="7"/>
  <c r="CZ116" i="7"/>
  <c r="CY170" i="7"/>
  <c r="CZ170" i="7"/>
  <c r="DB170" i="7" s="1"/>
  <c r="CX84" i="7"/>
  <c r="CX67" i="7"/>
  <c r="CX129" i="7"/>
  <c r="CX165" i="7"/>
  <c r="CX61" i="7"/>
  <c r="CX123" i="7"/>
  <c r="CX77" i="7"/>
  <c r="CX97" i="7"/>
  <c r="DA201" i="7"/>
  <c r="CX136" i="7"/>
  <c r="CY151" i="7"/>
  <c r="CZ151" i="7"/>
  <c r="DB151" i="7" s="1"/>
  <c r="CW145" i="7"/>
  <c r="CV145" i="7"/>
  <c r="DC162" i="7"/>
  <c r="DD162" i="7" s="1"/>
  <c r="DE162" i="7" s="1"/>
  <c r="DJ162" i="7"/>
  <c r="CW115" i="7"/>
  <c r="CV115" i="7"/>
  <c r="CV147" i="7"/>
  <c r="CW147" i="7"/>
  <c r="CW71" i="7"/>
  <c r="CV71" i="7"/>
  <c r="CY66" i="7"/>
  <c r="CZ66" i="7"/>
  <c r="CW183" i="7"/>
  <c r="CV183" i="7"/>
  <c r="CY163" i="7"/>
  <c r="CZ163" i="7"/>
  <c r="CV74" i="7"/>
  <c r="CW74" i="7"/>
  <c r="CV193" i="7"/>
  <c r="CZ193" i="7" s="1"/>
  <c r="CV165" i="7"/>
  <c r="CZ165" i="7" s="1"/>
  <c r="CY103" i="7"/>
  <c r="CY161" i="7"/>
  <c r="CY156" i="7"/>
  <c r="CZ156" i="7"/>
  <c r="DB156" i="7" s="1"/>
  <c r="CY85" i="7"/>
  <c r="CZ85" i="7"/>
  <c r="CV130" i="7"/>
  <c r="CW130" i="7"/>
  <c r="CY101" i="7"/>
  <c r="CZ101" i="7"/>
  <c r="CW79" i="7"/>
  <c r="CV79" i="7"/>
  <c r="CV80" i="7"/>
  <c r="CW80" i="7"/>
  <c r="CY149" i="7"/>
  <c r="CZ149" i="7"/>
  <c r="DB149" i="7" s="1"/>
  <c r="CW137" i="7"/>
  <c r="CV137" i="7"/>
  <c r="CW75" i="7"/>
  <c r="CV75" i="7"/>
  <c r="CV105" i="7"/>
  <c r="CZ105" i="7" s="1"/>
  <c r="CX193" i="7"/>
  <c r="CX206" i="7"/>
  <c r="CX126" i="7"/>
  <c r="CX147" i="7"/>
  <c r="CX71" i="7"/>
  <c r="CX146" i="7"/>
  <c r="CV195" i="7"/>
  <c r="CZ195" i="7" s="1"/>
  <c r="CX63" i="7"/>
  <c r="CX183" i="7"/>
  <c r="CV108" i="7"/>
  <c r="CZ108" i="7" s="1"/>
  <c r="CY185" i="7"/>
  <c r="CY196" i="7"/>
  <c r="CV124" i="7"/>
  <c r="CW124" i="7"/>
  <c r="CY83" i="7"/>
  <c r="CZ83" i="7"/>
  <c r="CY142" i="7"/>
  <c r="CZ142" i="7"/>
  <c r="CY78" i="7"/>
  <c r="CZ78" i="7"/>
  <c r="DB78" i="7" s="1"/>
  <c r="CY90" i="7"/>
  <c r="CZ90" i="7"/>
  <c r="CY148" i="7"/>
  <c r="CZ148" i="7"/>
  <c r="CY194" i="7"/>
  <c r="CZ194" i="7"/>
  <c r="DB194" i="7" s="1"/>
  <c r="CV134" i="7"/>
  <c r="CW134" i="7"/>
  <c r="CY60" i="7"/>
  <c r="CZ60" i="7"/>
  <c r="CW141" i="7"/>
  <c r="CV141" i="7"/>
  <c r="CV59" i="7"/>
  <c r="CZ59" i="7" s="1"/>
  <c r="CX137" i="7"/>
  <c r="CX75" i="7"/>
  <c r="AN148" i="3" l="1"/>
  <c r="AN147" i="3"/>
  <c r="AN150" i="3" s="1"/>
  <c r="AF147" i="3"/>
  <c r="AF150" i="3" s="1"/>
  <c r="AF152" i="3" s="1"/>
  <c r="AF149" i="3"/>
  <c r="AF151" i="3" s="1"/>
  <c r="CZ157" i="7"/>
  <c r="AF36" i="3"/>
  <c r="X18" i="3" s="1"/>
  <c r="AG36" i="3"/>
  <c r="AJ13" i="3" s="1"/>
  <c r="AJ17" i="3" s="1"/>
  <c r="AF33" i="3"/>
  <c r="Y18" i="3" s="1"/>
  <c r="AF32" i="3"/>
  <c r="AX55" i="3"/>
  <c r="AX58" i="3" s="1"/>
  <c r="W63" i="3" s="1"/>
  <c r="AX125" i="3"/>
  <c r="AX126" i="3"/>
  <c r="AX128" i="3" s="1"/>
  <c r="AX80" i="3"/>
  <c r="AX82" i="3" s="1"/>
  <c r="AZ64" i="3" s="1"/>
  <c r="AZ68" i="3" s="1"/>
  <c r="BJ32" i="3"/>
  <c r="BJ31" i="3"/>
  <c r="BJ34" i="3" s="1"/>
  <c r="BJ36" i="3" s="1"/>
  <c r="BL13" i="3" s="1"/>
  <c r="BL17" i="3" s="1"/>
  <c r="BC102" i="3"/>
  <c r="BC103" i="3"/>
  <c r="BC105" i="3" s="1"/>
  <c r="BF126" i="3"/>
  <c r="BF128" i="3" s="1"/>
  <c r="BD101" i="3"/>
  <c r="BD104" i="3" s="1"/>
  <c r="BD106" i="3" s="1"/>
  <c r="AX79" i="3"/>
  <c r="AX83" i="3"/>
  <c r="X84" i="3" s="1"/>
  <c r="AK169" i="3"/>
  <c r="AK170" i="3" s="1"/>
  <c r="AK173" i="3" s="1"/>
  <c r="AK175" i="3" s="1"/>
  <c r="BJ57" i="3"/>
  <c r="BJ59" i="3" s="1"/>
  <c r="BL41" i="3" s="1"/>
  <c r="BL45" i="3" s="1"/>
  <c r="AE172" i="3"/>
  <c r="AE174" i="3" s="1"/>
  <c r="BN65" i="3"/>
  <c r="BN69" i="3" s="1"/>
  <c r="BL65" i="3"/>
  <c r="BL69" i="3" s="1"/>
  <c r="AE171" i="3"/>
  <c r="BJ79" i="3"/>
  <c r="BB101" i="3"/>
  <c r="BB104" i="3" s="1"/>
  <c r="BB106" i="3" s="1"/>
  <c r="BB103" i="3"/>
  <c r="BB105" i="3" s="1"/>
  <c r="AG171" i="3"/>
  <c r="BA101" i="3"/>
  <c r="BA104" i="3" s="1"/>
  <c r="BA106" i="3" s="1"/>
  <c r="BA103" i="3"/>
  <c r="BA105" i="3" s="1"/>
  <c r="AI171" i="3"/>
  <c r="BJ80" i="3"/>
  <c r="BJ82" i="3" s="1"/>
  <c r="BM64" i="3" s="1"/>
  <c r="BM68" i="3" s="1"/>
  <c r="BM73" i="3" s="1"/>
  <c r="BM74" i="3" s="1"/>
  <c r="BK65" i="3"/>
  <c r="BK69" i="3" s="1"/>
  <c r="AI172" i="3"/>
  <c r="AI174" i="3" s="1"/>
  <c r="AF171" i="3"/>
  <c r="AF172" i="3"/>
  <c r="AF174" i="3" s="1"/>
  <c r="AG172" i="3"/>
  <c r="AG174" i="3" s="1"/>
  <c r="AL171" i="3"/>
  <c r="AF191" i="3"/>
  <c r="AF192" i="3" s="1"/>
  <c r="AF193" i="3" s="1"/>
  <c r="AF196" i="3" s="1"/>
  <c r="AF198" i="3" s="1"/>
  <c r="BE102" i="3"/>
  <c r="BE101" i="3"/>
  <c r="BE104" i="3" s="1"/>
  <c r="BE106" i="3" s="1"/>
  <c r="AZ124" i="3"/>
  <c r="AZ127" i="3" s="1"/>
  <c r="AZ129" i="3" s="1"/>
  <c r="BF124" i="3"/>
  <c r="BF127" i="3" s="1"/>
  <c r="BF129" i="3" s="1"/>
  <c r="AY103" i="3"/>
  <c r="AY105" i="3" s="1"/>
  <c r="AZ126" i="3"/>
  <c r="AZ128" i="3" s="1"/>
  <c r="BD102" i="3"/>
  <c r="BH103" i="3"/>
  <c r="BH105" i="3" s="1"/>
  <c r="BH101" i="3"/>
  <c r="BH104" i="3" s="1"/>
  <c r="BH106" i="3" s="1"/>
  <c r="AL170" i="3"/>
  <c r="AL173" i="3" s="1"/>
  <c r="AL175" i="3" s="1"/>
  <c r="AY101" i="3"/>
  <c r="AY104" i="3" s="1"/>
  <c r="AY106" i="3" s="1"/>
  <c r="AM170" i="3"/>
  <c r="AM173" i="3" s="1"/>
  <c r="AM175" i="3" s="1"/>
  <c r="BB65" i="3"/>
  <c r="BB69" i="3" s="1"/>
  <c r="BE124" i="3"/>
  <c r="BE127" i="3" s="1"/>
  <c r="BE129" i="3" s="1"/>
  <c r="AM172" i="3"/>
  <c r="AM174" i="3" s="1"/>
  <c r="BG125" i="3"/>
  <c r="BF100" i="3"/>
  <c r="BF101" i="3" s="1"/>
  <c r="BF104" i="3" s="1"/>
  <c r="BF106" i="3" s="1"/>
  <c r="AX103" i="3"/>
  <c r="AX105" i="3" s="1"/>
  <c r="AY56" i="3"/>
  <c r="AY57" i="3"/>
  <c r="AY59" i="3" s="1"/>
  <c r="BB41" i="3" s="1"/>
  <c r="BB45" i="3" s="1"/>
  <c r="BB52" i="3" s="1"/>
  <c r="AM33" i="3"/>
  <c r="Y30" i="3" s="1"/>
  <c r="AM32" i="3"/>
  <c r="AX57" i="3"/>
  <c r="Y63" i="3" s="1"/>
  <c r="AP191" i="3"/>
  <c r="AP192" i="3" s="1"/>
  <c r="AP195" i="3" s="1"/>
  <c r="AP197" i="3" s="1"/>
  <c r="BC42" i="3"/>
  <c r="BC46" i="3" s="1"/>
  <c r="AO171" i="3"/>
  <c r="BH125" i="3"/>
  <c r="BC125" i="3"/>
  <c r="AO170" i="3"/>
  <c r="AO173" i="3" s="1"/>
  <c r="R644" i="6" s="1"/>
  <c r="BC124" i="3"/>
  <c r="BC127" i="3" s="1"/>
  <c r="BC129" i="3" s="1"/>
  <c r="BJ56" i="3"/>
  <c r="BD126" i="3"/>
  <c r="BD128" i="3" s="1"/>
  <c r="BG102" i="3"/>
  <c r="BH126" i="3"/>
  <c r="BH128" i="3" s="1"/>
  <c r="AH172" i="3"/>
  <c r="AH174" i="3" s="1"/>
  <c r="BI124" i="3"/>
  <c r="BI127" i="3" s="1"/>
  <c r="BI129" i="3" s="1"/>
  <c r="AN191" i="3"/>
  <c r="AN192" i="3" s="1"/>
  <c r="AN193" i="3" s="1"/>
  <c r="AN196" i="3" s="1"/>
  <c r="AZ102" i="3"/>
  <c r="AZ103" i="3"/>
  <c r="AZ105" i="3" s="1"/>
  <c r="BA124" i="3"/>
  <c r="BA127" i="3" s="1"/>
  <c r="BA129" i="3" s="1"/>
  <c r="AH170" i="3"/>
  <c r="AH173" i="3" s="1"/>
  <c r="AH175" i="3" s="1"/>
  <c r="BA126" i="3"/>
  <c r="BA128" i="3" s="1"/>
  <c r="BB13" i="3"/>
  <c r="BB17" i="3" s="1"/>
  <c r="BI126" i="3"/>
  <c r="BI128" i="3" s="1"/>
  <c r="AY80" i="3"/>
  <c r="AY82" i="3" s="1"/>
  <c r="BB64" i="3" s="1"/>
  <c r="BB68" i="3" s="1"/>
  <c r="BB73" i="3" s="1"/>
  <c r="BB74" i="3" s="1"/>
  <c r="BE126" i="3"/>
  <c r="BE128" i="3" s="1"/>
  <c r="AY79" i="3"/>
  <c r="AL191" i="3"/>
  <c r="AL192" i="3" s="1"/>
  <c r="AL195" i="3" s="1"/>
  <c r="AL197" i="3" s="1"/>
  <c r="AG191" i="3"/>
  <c r="AG192" i="3" s="1"/>
  <c r="AG194" i="3" s="1"/>
  <c r="AH191" i="3"/>
  <c r="AH192" i="3" s="1"/>
  <c r="AH195" i="3" s="1"/>
  <c r="AH197" i="3" s="1"/>
  <c r="AI191" i="3"/>
  <c r="AI192" i="3" s="1"/>
  <c r="AI195" i="3" s="1"/>
  <c r="AI197" i="3" s="1"/>
  <c r="AJ191" i="3"/>
  <c r="AJ192" i="3" s="1"/>
  <c r="AJ193" i="3" s="1"/>
  <c r="AJ196" i="3" s="1"/>
  <c r="AM191" i="3"/>
  <c r="AM192" i="3" s="1"/>
  <c r="AM194" i="3" s="1"/>
  <c r="BG101" i="3"/>
  <c r="BG104" i="3" s="1"/>
  <c r="BG106" i="3" s="1"/>
  <c r="AJ169" i="3"/>
  <c r="AJ172" i="3" s="1"/>
  <c r="AJ174" i="3" s="1"/>
  <c r="AK189" i="3"/>
  <c r="AK191" i="3" s="1"/>
  <c r="AK192" i="3" s="1"/>
  <c r="AK195" i="3" s="1"/>
  <c r="AK197" i="3" s="1"/>
  <c r="AX30" i="3"/>
  <c r="AX31" i="3" s="1"/>
  <c r="AX34" i="3" s="1"/>
  <c r="W42" i="3" s="1"/>
  <c r="BB124" i="3"/>
  <c r="BB127" i="3" s="1"/>
  <c r="BB129" i="3" s="1"/>
  <c r="BD125" i="3"/>
  <c r="AY124" i="3"/>
  <c r="AY127" i="3" s="1"/>
  <c r="AY129" i="3" s="1"/>
  <c r="AL31" i="3"/>
  <c r="AL34" i="3" s="1"/>
  <c r="W29" i="3" s="1"/>
  <c r="BB125" i="3"/>
  <c r="AL32" i="3"/>
  <c r="AY125" i="3"/>
  <c r="BG124" i="3"/>
  <c r="BG127" i="3" s="1"/>
  <c r="BG129" i="3" s="1"/>
  <c r="AX101" i="3"/>
  <c r="AX104" i="3" s="1"/>
  <c r="AX106" i="3" s="1"/>
  <c r="AN170" i="3"/>
  <c r="AN173" i="3" s="1"/>
  <c r="AN175" i="3" s="1"/>
  <c r="AO191" i="3"/>
  <c r="AO192" i="3" s="1"/>
  <c r="AO194" i="3" s="1"/>
  <c r="AN171" i="3"/>
  <c r="AE191" i="3"/>
  <c r="AE192" i="3" s="1"/>
  <c r="AE195" i="3" s="1"/>
  <c r="AE197" i="3" s="1"/>
  <c r="BI102" i="3"/>
  <c r="BI101" i="3"/>
  <c r="BI104" i="3" s="1"/>
  <c r="BI106" i="3" s="1"/>
  <c r="AS29" i="3"/>
  <c r="AS30" i="3" s="1"/>
  <c r="AS32" i="3" s="1"/>
  <c r="AY32" i="3"/>
  <c r="AY33" i="3"/>
  <c r="AY35" i="3" s="1"/>
  <c r="BB12" i="3" s="1"/>
  <c r="BB16" i="3" s="1"/>
  <c r="BB26" i="3" s="1"/>
  <c r="BB27" i="3" s="1"/>
  <c r="AR29" i="3"/>
  <c r="AR30" i="3" s="1"/>
  <c r="AR33" i="3" s="1"/>
  <c r="AR35" i="3" s="1"/>
  <c r="AP170" i="3"/>
  <c r="AP173" i="3" s="1"/>
  <c r="AP175" i="3" s="1"/>
  <c r="AP171" i="3"/>
  <c r="AP148" i="3"/>
  <c r="AP147" i="3"/>
  <c r="AP150" i="3" s="1"/>
  <c r="AP152" i="3" s="1"/>
  <c r="AP149" i="3"/>
  <c r="AP151" i="3" s="1"/>
  <c r="AQ191" i="3"/>
  <c r="AQ192" i="3" s="1"/>
  <c r="AQ193" i="3" s="1"/>
  <c r="AQ196" i="3" s="1"/>
  <c r="AQ198" i="3" s="1"/>
  <c r="AQ168" i="3"/>
  <c r="AQ169" i="3" s="1"/>
  <c r="AQ171" i="3" s="1"/>
  <c r="AR165" i="3"/>
  <c r="AR166" i="3" s="1"/>
  <c r="AR167" i="3"/>
  <c r="AR190" i="3"/>
  <c r="AR188" i="3"/>
  <c r="AR189" i="3" s="1"/>
  <c r="AQ145" i="3"/>
  <c r="AQ146" i="3" s="1"/>
  <c r="AS140" i="3"/>
  <c r="AS139" i="3"/>
  <c r="AT135" i="3"/>
  <c r="AS163" i="3"/>
  <c r="AS162" i="3"/>
  <c r="AT158" i="3"/>
  <c r="AR142" i="3"/>
  <c r="AR143" i="3" s="1"/>
  <c r="AR144" i="3"/>
  <c r="AT181" i="3"/>
  <c r="AS186" i="3"/>
  <c r="AS185" i="3"/>
  <c r="AN152" i="3"/>
  <c r="Q632" i="6"/>
  <c r="AO152" i="3"/>
  <c r="R632" i="6"/>
  <c r="AJ152" i="3"/>
  <c r="M632" i="6"/>
  <c r="AE175" i="3"/>
  <c r="DA98" i="7"/>
  <c r="DJ98" i="7" s="1"/>
  <c r="DA118" i="7"/>
  <c r="DJ118" i="7" s="1"/>
  <c r="CZ180" i="7"/>
  <c r="DA180" i="7" s="1"/>
  <c r="DC180" i="7" s="1"/>
  <c r="DD180" i="7" s="1"/>
  <c r="CY180" i="7"/>
  <c r="DE169" i="7"/>
  <c r="DK169" i="7" s="1"/>
  <c r="CZ92" i="7"/>
  <c r="DB92" i="7" s="1"/>
  <c r="DA168" i="7"/>
  <c r="DC168" i="7" s="1"/>
  <c r="DD168" i="7" s="1"/>
  <c r="DE168" i="7" s="1"/>
  <c r="DK168" i="7" s="1"/>
  <c r="DL168" i="7" s="1"/>
  <c r="DM168" i="7" s="1"/>
  <c r="DB169" i="7"/>
  <c r="Y29" i="3"/>
  <c r="AL35" i="3"/>
  <c r="BM42" i="3"/>
  <c r="BM46" i="3" s="1"/>
  <c r="BK42" i="3"/>
  <c r="BK46" i="3" s="1"/>
  <c r="BL42" i="3"/>
  <c r="BL46" i="3" s="1"/>
  <c r="BN42" i="3"/>
  <c r="BN46" i="3" s="1"/>
  <c r="W30" i="3"/>
  <c r="AM36" i="3"/>
  <c r="BN12" i="3"/>
  <c r="BN16" i="3" s="1"/>
  <c r="BL12" i="3"/>
  <c r="BL16" i="3" s="1"/>
  <c r="BM12" i="3"/>
  <c r="BM16" i="3" s="1"/>
  <c r="BK12" i="3"/>
  <c r="BK16" i="3" s="1"/>
  <c r="AK12" i="3"/>
  <c r="AK16" i="3" s="1"/>
  <c r="Z22" i="3"/>
  <c r="AJ12" i="3"/>
  <c r="AJ16" i="3" s="1"/>
  <c r="DA185" i="7"/>
  <c r="DJ185" i="7" s="1"/>
  <c r="CY92" i="7"/>
  <c r="DB200" i="7"/>
  <c r="DA119" i="7"/>
  <c r="DJ119" i="7" s="1"/>
  <c r="DA58" i="7"/>
  <c r="DC58" i="7" s="1"/>
  <c r="DD58" i="7" s="1"/>
  <c r="DE58" i="7" s="1"/>
  <c r="DA191" i="7"/>
  <c r="DJ191" i="7" s="1"/>
  <c r="DC62" i="7"/>
  <c r="DD62" i="7" s="1"/>
  <c r="DE62" i="7" s="1"/>
  <c r="DK62" i="7" s="1"/>
  <c r="DB91" i="7"/>
  <c r="DA89" i="7"/>
  <c r="DJ89" i="7" s="1"/>
  <c r="DA171" i="7"/>
  <c r="DJ171" i="7" s="1"/>
  <c r="DA166" i="7"/>
  <c r="DJ166" i="7" s="1"/>
  <c r="CZ205" i="7"/>
  <c r="DA205" i="7" s="1"/>
  <c r="DB69" i="7"/>
  <c r="DA153" i="7"/>
  <c r="DJ153" i="7" s="1"/>
  <c r="CY63" i="7"/>
  <c r="DB177" i="7"/>
  <c r="DA161" i="7"/>
  <c r="DJ161" i="7" s="1"/>
  <c r="DA102" i="7"/>
  <c r="DC102" i="7" s="1"/>
  <c r="DD102" i="7" s="1"/>
  <c r="DE102" i="7" s="1"/>
  <c r="DA198" i="7"/>
  <c r="DC198" i="7" s="1"/>
  <c r="DD198" i="7" s="1"/>
  <c r="DE198" i="7" s="1"/>
  <c r="DK198" i="7" s="1"/>
  <c r="DA117" i="7"/>
  <c r="DC117" i="7" s="1"/>
  <c r="DD117" i="7" s="1"/>
  <c r="DE117" i="7" s="1"/>
  <c r="CZ121" i="7"/>
  <c r="DA121" i="7" s="1"/>
  <c r="DA188" i="7"/>
  <c r="DJ188" i="7" s="1"/>
  <c r="DA173" i="7"/>
  <c r="DC173" i="7" s="1"/>
  <c r="DD173" i="7" s="1"/>
  <c r="DE173" i="7" s="1"/>
  <c r="DB96" i="7"/>
  <c r="DB103" i="7"/>
  <c r="DA197" i="7"/>
  <c r="DC197" i="7" s="1"/>
  <c r="DD197" i="7" s="1"/>
  <c r="DE197" i="7" s="1"/>
  <c r="CZ61" i="7"/>
  <c r="DA61" i="7" s="1"/>
  <c r="DC61" i="7" s="1"/>
  <c r="DD61" i="7" s="1"/>
  <c r="DE61" i="7" s="1"/>
  <c r="DA110" i="7"/>
  <c r="DC110" i="7" s="1"/>
  <c r="DD110" i="7" s="1"/>
  <c r="DE110" i="7" s="1"/>
  <c r="DA186" i="7"/>
  <c r="DJ186" i="7" s="1"/>
  <c r="CZ123" i="7"/>
  <c r="DA123" i="7" s="1"/>
  <c r="DC123" i="7" s="1"/>
  <c r="DD123" i="7" s="1"/>
  <c r="DE123" i="7" s="1"/>
  <c r="CY67" i="7"/>
  <c r="DC128" i="7"/>
  <c r="DD128" i="7" s="1"/>
  <c r="DE128" i="7" s="1"/>
  <c r="DK128" i="7" s="1"/>
  <c r="DA160" i="7"/>
  <c r="DC160" i="7" s="1"/>
  <c r="DD160" i="7" s="1"/>
  <c r="DE160" i="7" s="1"/>
  <c r="DF160" i="7" s="1"/>
  <c r="BI14" i="7" s="1"/>
  <c r="DA86" i="7"/>
  <c r="DC86" i="7" s="1"/>
  <c r="DD86" i="7" s="1"/>
  <c r="DE86" i="7" s="1"/>
  <c r="DA203" i="7"/>
  <c r="DJ203" i="7" s="1"/>
  <c r="CY172" i="7"/>
  <c r="DA64" i="7"/>
  <c r="DJ70" i="7"/>
  <c r="DC70" i="7"/>
  <c r="DD70" i="7" s="1"/>
  <c r="DE70" i="7" s="1"/>
  <c r="DK70" i="7" s="1"/>
  <c r="DA164" i="7"/>
  <c r="DC164" i="7" s="1"/>
  <c r="DD164" i="7" s="1"/>
  <c r="DE164" i="7" s="1"/>
  <c r="DB70" i="7"/>
  <c r="DA99" i="7"/>
  <c r="DC99" i="7" s="1"/>
  <c r="DD99" i="7" s="1"/>
  <c r="DE99" i="7" s="1"/>
  <c r="DA189" i="7"/>
  <c r="DC189" i="7" s="1"/>
  <c r="DD189" i="7" s="1"/>
  <c r="DE189" i="7" s="1"/>
  <c r="DA95" i="7"/>
  <c r="DJ95" i="7" s="1"/>
  <c r="CZ172" i="7"/>
  <c r="DB172" i="7" s="1"/>
  <c r="DA111" i="7"/>
  <c r="DC111" i="7" s="1"/>
  <c r="DD111" i="7" s="1"/>
  <c r="DE111" i="7" s="1"/>
  <c r="CZ129" i="7"/>
  <c r="DA129" i="7" s="1"/>
  <c r="DJ129" i="7" s="1"/>
  <c r="DB176" i="7"/>
  <c r="DA114" i="7"/>
  <c r="DA179" i="7"/>
  <c r="DC179" i="7" s="1"/>
  <c r="DD179" i="7" s="1"/>
  <c r="DE179" i="7" s="1"/>
  <c r="DA93" i="7"/>
  <c r="DC93" i="7" s="1"/>
  <c r="DD93" i="7" s="1"/>
  <c r="DE93" i="7" s="1"/>
  <c r="DA87" i="7"/>
  <c r="DC87" i="7" s="1"/>
  <c r="DD87" i="7" s="1"/>
  <c r="DE87" i="7" s="1"/>
  <c r="DK87" i="7" s="1"/>
  <c r="DA73" i="7"/>
  <c r="DJ73" i="7" s="1"/>
  <c r="CY140" i="7"/>
  <c r="DA82" i="7"/>
  <c r="DJ82" i="7" s="1"/>
  <c r="DA88" i="7"/>
  <c r="DC88" i="7" s="1"/>
  <c r="DD88" i="7" s="1"/>
  <c r="DE88" i="7" s="1"/>
  <c r="DC132" i="7"/>
  <c r="DD132" i="7" s="1"/>
  <c r="DE132" i="7" s="1"/>
  <c r="DK132" i="7" s="1"/>
  <c r="CY206" i="7"/>
  <c r="CZ138" i="7"/>
  <c r="DA138" i="7" s="1"/>
  <c r="DC138" i="7" s="1"/>
  <c r="DD138" i="7" s="1"/>
  <c r="DE138" i="7" s="1"/>
  <c r="CY177" i="7"/>
  <c r="DA159" i="7"/>
  <c r="DJ159" i="7" s="1"/>
  <c r="CZ126" i="7"/>
  <c r="DA126" i="7" s="1"/>
  <c r="DA196" i="7"/>
  <c r="DJ196" i="7" s="1"/>
  <c r="CY65" i="7"/>
  <c r="DA127" i="7"/>
  <c r="DJ127" i="7" s="1"/>
  <c r="DA187" i="7"/>
  <c r="DJ187" i="7" s="1"/>
  <c r="DA81" i="7"/>
  <c r="DC81" i="7" s="1"/>
  <c r="DD81" i="7" s="1"/>
  <c r="DE81" i="7" s="1"/>
  <c r="CZ136" i="7"/>
  <c r="DB136" i="7" s="1"/>
  <c r="DA170" i="7"/>
  <c r="DJ170" i="7" s="1"/>
  <c r="DA175" i="7"/>
  <c r="DC175" i="7" s="1"/>
  <c r="DD175" i="7" s="1"/>
  <c r="DE175" i="7" s="1"/>
  <c r="DA158" i="7"/>
  <c r="DJ158" i="7" s="1"/>
  <c r="DC96" i="7"/>
  <c r="DD96" i="7" s="1"/>
  <c r="DE96" i="7" s="1"/>
  <c r="DK96" i="7" s="1"/>
  <c r="DJ96" i="7"/>
  <c r="DJ169" i="7"/>
  <c r="DA107" i="7"/>
  <c r="DA144" i="7"/>
  <c r="DA109" i="7"/>
  <c r="DJ109" i="7" s="1"/>
  <c r="DA63" i="7"/>
  <c r="DC63" i="7" s="1"/>
  <c r="DD63" i="7" s="1"/>
  <c r="CY122" i="7"/>
  <c r="CZ190" i="7"/>
  <c r="DB190" i="7" s="1"/>
  <c r="CY176" i="7"/>
  <c r="DB192" i="7"/>
  <c r="DA192" i="7"/>
  <c r="DJ199" i="7"/>
  <c r="DB154" i="7"/>
  <c r="CZ143" i="7"/>
  <c r="DB143" i="7" s="1"/>
  <c r="DC69" i="7"/>
  <c r="DD69" i="7" s="1"/>
  <c r="DE69" i="7" s="1"/>
  <c r="DF69" i="7" s="1"/>
  <c r="W23" i="7" s="1"/>
  <c r="DA131" i="7"/>
  <c r="DC131" i="7" s="1"/>
  <c r="DD131" i="7" s="1"/>
  <c r="DE131" i="7" s="1"/>
  <c r="DB105" i="7"/>
  <c r="CY120" i="7"/>
  <c r="DA178" i="7"/>
  <c r="DC178" i="7" s="1"/>
  <c r="DD178" i="7" s="1"/>
  <c r="DE178" i="7" s="1"/>
  <c r="DB184" i="7"/>
  <c r="DA184" i="7"/>
  <c r="DA206" i="7"/>
  <c r="DC206" i="7" s="1"/>
  <c r="DD206" i="7" s="1"/>
  <c r="DB193" i="7"/>
  <c r="DA167" i="7"/>
  <c r="DC167" i="7" s="1"/>
  <c r="DD167" i="7" s="1"/>
  <c r="DE167" i="7" s="1"/>
  <c r="CY154" i="7"/>
  <c r="DB165" i="7"/>
  <c r="DB65" i="7"/>
  <c r="DB125" i="7"/>
  <c r="DA125" i="7"/>
  <c r="DC125" i="7" s="1"/>
  <c r="DD125" i="7" s="1"/>
  <c r="DJ155" i="7"/>
  <c r="DC155" i="7"/>
  <c r="DD155" i="7" s="1"/>
  <c r="DE155" i="7" s="1"/>
  <c r="DK155" i="7" s="1"/>
  <c r="DB140" i="7"/>
  <c r="CY193" i="7"/>
  <c r="CY125" i="7"/>
  <c r="CY202" i="7"/>
  <c r="DB155" i="7"/>
  <c r="DB106" i="7"/>
  <c r="DA106" i="7"/>
  <c r="DC106" i="7" s="1"/>
  <c r="DD106" i="7" s="1"/>
  <c r="DB67" i="7"/>
  <c r="DB152" i="7"/>
  <c r="DA152" i="7"/>
  <c r="DA154" i="7"/>
  <c r="DJ154" i="7" s="1"/>
  <c r="DA177" i="7"/>
  <c r="DJ177" i="7" s="1"/>
  <c r="DA146" i="7"/>
  <c r="DC146" i="7" s="1"/>
  <c r="DD146" i="7" s="1"/>
  <c r="CY146" i="7"/>
  <c r="DA94" i="7"/>
  <c r="DC94" i="7" s="1"/>
  <c r="DD94" i="7" s="1"/>
  <c r="DE94" i="7" s="1"/>
  <c r="DB120" i="7"/>
  <c r="CY106" i="7"/>
  <c r="CZ202" i="7"/>
  <c r="DB202" i="7" s="1"/>
  <c r="DK199" i="7"/>
  <c r="DF199" i="7"/>
  <c r="BI53" i="7" s="1"/>
  <c r="DB195" i="7"/>
  <c r="DA195" i="7"/>
  <c r="DB59" i="7"/>
  <c r="DA59" i="7"/>
  <c r="DB108" i="7"/>
  <c r="DA108" i="7"/>
  <c r="DJ91" i="7"/>
  <c r="DC91" i="7"/>
  <c r="DD91" i="7" s="1"/>
  <c r="DE91" i="7" s="1"/>
  <c r="DB163" i="7"/>
  <c r="DA163" i="7"/>
  <c r="CY147" i="7"/>
  <c r="CZ147" i="7"/>
  <c r="DB147" i="7" s="1"/>
  <c r="DB113" i="7"/>
  <c r="DA113" i="7"/>
  <c r="CY77" i="7"/>
  <c r="CZ77" i="7"/>
  <c r="DB77" i="7" s="1"/>
  <c r="DC182" i="7"/>
  <c r="DD182" i="7" s="1"/>
  <c r="DE182" i="7" s="1"/>
  <c r="DJ182" i="7"/>
  <c r="DB63" i="7"/>
  <c r="DA120" i="7"/>
  <c r="DA105" i="7"/>
  <c r="DA149" i="7"/>
  <c r="CZ122" i="7"/>
  <c r="DB60" i="7"/>
  <c r="DA60" i="7"/>
  <c r="CY134" i="7"/>
  <c r="CZ134" i="7"/>
  <c r="DB142" i="7"/>
  <c r="DA142" i="7"/>
  <c r="CY137" i="7"/>
  <c r="CZ137" i="7"/>
  <c r="DB137" i="7" s="1"/>
  <c r="CY79" i="7"/>
  <c r="CZ79" i="7"/>
  <c r="CY71" i="7"/>
  <c r="CZ71" i="7"/>
  <c r="DB71" i="7" s="1"/>
  <c r="DF112" i="7"/>
  <c r="AP16" i="7" s="1"/>
  <c r="DK112" i="7"/>
  <c r="DB100" i="7"/>
  <c r="DA100" i="7"/>
  <c r="DB150" i="7"/>
  <c r="DA150" i="7"/>
  <c r="DJ103" i="7"/>
  <c r="DC103" i="7"/>
  <c r="DD103" i="7" s="1"/>
  <c r="DE103" i="7" s="1"/>
  <c r="CY108" i="7"/>
  <c r="CY165" i="7"/>
  <c r="DA176" i="7"/>
  <c r="DA151" i="7"/>
  <c r="DC200" i="7"/>
  <c r="DD200" i="7" s="1"/>
  <c r="DE200" i="7" s="1"/>
  <c r="DJ200" i="7"/>
  <c r="CY141" i="7"/>
  <c r="CZ141" i="7"/>
  <c r="DB157" i="7"/>
  <c r="DA157" i="7"/>
  <c r="DB85" i="7"/>
  <c r="DA85" i="7"/>
  <c r="DB66" i="7"/>
  <c r="DA66" i="7"/>
  <c r="DJ201" i="7"/>
  <c r="DC201" i="7"/>
  <c r="DD201" i="7" s="1"/>
  <c r="DE201" i="7" s="1"/>
  <c r="DB116" i="7"/>
  <c r="DA116" i="7"/>
  <c r="CY135" i="7"/>
  <c r="CZ135" i="7"/>
  <c r="CY97" i="7"/>
  <c r="CZ97" i="7"/>
  <c r="DB97" i="7" s="1"/>
  <c r="DB204" i="7"/>
  <c r="DA204" i="7"/>
  <c r="CY139" i="7"/>
  <c r="CZ139" i="7"/>
  <c r="CY133" i="7"/>
  <c r="CZ133" i="7"/>
  <c r="DA165" i="7"/>
  <c r="DA194" i="7"/>
  <c r="DB148" i="7"/>
  <c r="DA148" i="7"/>
  <c r="CY124" i="7"/>
  <c r="CZ124" i="7"/>
  <c r="CY75" i="7"/>
  <c r="CZ75" i="7"/>
  <c r="DB75" i="7" s="1"/>
  <c r="CY183" i="7"/>
  <c r="CZ183" i="7"/>
  <c r="DB183" i="7" s="1"/>
  <c r="DF162" i="7"/>
  <c r="BI16" i="7" s="1"/>
  <c r="DK162" i="7"/>
  <c r="CY145" i="7"/>
  <c r="CZ145" i="7"/>
  <c r="CY181" i="7"/>
  <c r="CZ181" i="7"/>
  <c r="CY84" i="7"/>
  <c r="CZ84" i="7"/>
  <c r="DB84" i="7" s="1"/>
  <c r="DF68" i="7"/>
  <c r="W22" i="7" s="1"/>
  <c r="DK68" i="7"/>
  <c r="CY72" i="7"/>
  <c r="CZ72" i="7"/>
  <c r="DA193" i="7"/>
  <c r="CY59" i="7"/>
  <c r="DA67" i="7"/>
  <c r="CY105" i="7"/>
  <c r="DA140" i="7"/>
  <c r="CY80" i="7"/>
  <c r="CZ80" i="7"/>
  <c r="DB101" i="7"/>
  <c r="DA101" i="7"/>
  <c r="CY130" i="7"/>
  <c r="CZ130" i="7"/>
  <c r="CY74" i="7"/>
  <c r="CZ74" i="7"/>
  <c r="DB57" i="7"/>
  <c r="DA57" i="7"/>
  <c r="DB104" i="7"/>
  <c r="DA104" i="7"/>
  <c r="CY174" i="7"/>
  <c r="CZ174" i="7"/>
  <c r="DB146" i="7"/>
  <c r="DA156" i="7"/>
  <c r="CY195" i="7"/>
  <c r="DB90" i="7"/>
  <c r="DA90" i="7"/>
  <c r="DB83" i="7"/>
  <c r="DA83" i="7"/>
  <c r="CY115" i="7"/>
  <c r="CZ115" i="7"/>
  <c r="DB76" i="7"/>
  <c r="DA76" i="7"/>
  <c r="DB206" i="7"/>
  <c r="DA78" i="7"/>
  <c r="DA65" i="7"/>
  <c r="AH13" i="3" l="1"/>
  <c r="AH17" i="3" s="1"/>
  <c r="AF35" i="3"/>
  <c r="AH12" i="3" s="1"/>
  <c r="AH16" i="3" s="1"/>
  <c r="AK13" i="3"/>
  <c r="AK17" i="3" s="1"/>
  <c r="AI13" i="3"/>
  <c r="AI17" i="3" s="1"/>
  <c r="X22" i="3"/>
  <c r="AX60" i="3"/>
  <c r="BA42" i="3" s="1"/>
  <c r="BA46" i="3" s="1"/>
  <c r="Z84" i="3"/>
  <c r="BA64" i="3"/>
  <c r="BA68" i="3" s="1"/>
  <c r="BA73" i="3" s="1"/>
  <c r="BA74" i="3" s="1"/>
  <c r="BM13" i="3"/>
  <c r="BM17" i="3" s="1"/>
  <c r="BN13" i="3"/>
  <c r="BN17" i="3" s="1"/>
  <c r="BK13" i="3"/>
  <c r="BK17" i="3" s="1"/>
  <c r="Y84" i="3"/>
  <c r="AK172" i="3"/>
  <c r="AK174" i="3" s="1"/>
  <c r="BA65" i="3"/>
  <c r="BA69" i="3" s="1"/>
  <c r="AZ65" i="3"/>
  <c r="AZ69" i="3" s="1"/>
  <c r="AK171" i="3"/>
  <c r="BN41" i="3"/>
  <c r="BN45" i="3" s="1"/>
  <c r="BN52" i="3" s="1"/>
  <c r="BK41" i="3"/>
  <c r="BK45" i="3" s="1"/>
  <c r="BK52" i="3" s="1"/>
  <c r="BM41" i="3"/>
  <c r="BM45" i="3" s="1"/>
  <c r="BM52" i="3" s="1"/>
  <c r="AR644" i="6"/>
  <c r="O644" i="6"/>
  <c r="BF102" i="3"/>
  <c r="AF194" i="3"/>
  <c r="AF195" i="3"/>
  <c r="AF197" i="3" s="1"/>
  <c r="BM75" i="3"/>
  <c r="BM76" i="3" s="1"/>
  <c r="BM77" i="3" s="1"/>
  <c r="BN64" i="3"/>
  <c r="BN68" i="3" s="1"/>
  <c r="BN73" i="3" s="1"/>
  <c r="BN74" i="3" s="1"/>
  <c r="BL64" i="3"/>
  <c r="BL68" i="3" s="1"/>
  <c r="BL75" i="3" s="1"/>
  <c r="AM35" i="3"/>
  <c r="AP12" i="3" s="1"/>
  <c r="AP16" i="3" s="1"/>
  <c r="BK64" i="3"/>
  <c r="BK68" i="3" s="1"/>
  <c r="BK75" i="3" s="1"/>
  <c r="AO175" i="3"/>
  <c r="BC64" i="3"/>
  <c r="BC68" i="3" s="1"/>
  <c r="BC75" i="3" s="1"/>
  <c r="BL14" i="7"/>
  <c r="BN14" i="7"/>
  <c r="BW14" i="7"/>
  <c r="BK14" i="7"/>
  <c r="BQ14" i="7"/>
  <c r="BR14" i="7"/>
  <c r="AX16" i="7"/>
  <c r="AS16" i="7"/>
  <c r="AR16" i="7"/>
  <c r="BD16" i="7"/>
  <c r="AU16" i="7"/>
  <c r="AY16" i="7"/>
  <c r="BK16" i="7"/>
  <c r="BL16" i="7"/>
  <c r="BN16" i="7"/>
  <c r="BW16" i="7"/>
  <c r="BQ16" i="7"/>
  <c r="BR16" i="7"/>
  <c r="BW53" i="7"/>
  <c r="BL53" i="7"/>
  <c r="BN53" i="7"/>
  <c r="BK53" i="7"/>
  <c r="BQ53" i="7"/>
  <c r="BR53" i="7"/>
  <c r="Y23" i="7"/>
  <c r="AB23" i="7"/>
  <c r="AE23" i="7"/>
  <c r="AK23" i="7"/>
  <c r="Z23" i="7"/>
  <c r="AF23" i="7"/>
  <c r="Z22" i="7"/>
  <c r="AE22" i="7"/>
  <c r="AK22" i="7"/>
  <c r="AB22" i="7"/>
  <c r="Y22" i="7"/>
  <c r="AF22" i="7"/>
  <c r="AR31" i="3"/>
  <c r="AR34" i="3" s="1"/>
  <c r="AR36" i="3" s="1"/>
  <c r="X35" i="3" s="1"/>
  <c r="AM193" i="3"/>
  <c r="AM196" i="3" s="1"/>
  <c r="AM198" i="3" s="1"/>
  <c r="AJ195" i="3"/>
  <c r="AJ197" i="3" s="1"/>
  <c r="AM195" i="3"/>
  <c r="AM197" i="3" s="1"/>
  <c r="AJ194" i="3"/>
  <c r="AL36" i="3"/>
  <c r="AN13" i="3" s="1"/>
  <c r="AN17" i="3" s="1"/>
  <c r="AN194" i="3"/>
  <c r="BB50" i="3"/>
  <c r="BB51" i="3" s="1"/>
  <c r="BB53" i="3" s="1"/>
  <c r="BB54" i="3" s="1"/>
  <c r="BB75" i="3"/>
  <c r="BB76" i="3" s="1"/>
  <c r="BB77" i="3" s="1"/>
  <c r="AN195" i="3"/>
  <c r="AN197" i="3" s="1"/>
  <c r="AE193" i="3"/>
  <c r="AE196" i="3" s="1"/>
  <c r="AE198" i="3" s="1"/>
  <c r="P644" i="6"/>
  <c r="BF103" i="3"/>
  <c r="BF105" i="3" s="1"/>
  <c r="AP194" i="3"/>
  <c r="AG195" i="3"/>
  <c r="AG197" i="3" s="1"/>
  <c r="BC41" i="3"/>
  <c r="BC45" i="3" s="1"/>
  <c r="BC50" i="3" s="1"/>
  <c r="BC51" i="3" s="1"/>
  <c r="AP193" i="3"/>
  <c r="AP196" i="3" s="1"/>
  <c r="AP198" i="3" s="1"/>
  <c r="H795" i="6"/>
  <c r="AX59" i="3"/>
  <c r="Z63" i="3" s="1"/>
  <c r="H855" i="6"/>
  <c r="AJ171" i="3"/>
  <c r="H840" i="6"/>
  <c r="AJ170" i="3"/>
  <c r="AJ173" i="3" s="1"/>
  <c r="AJ175" i="3" s="1"/>
  <c r="AE194" i="3"/>
  <c r="AI194" i="3"/>
  <c r="AI193" i="3"/>
  <c r="AI196" i="3" s="1"/>
  <c r="AI198" i="3" s="1"/>
  <c r="AG193" i="3"/>
  <c r="AG196" i="3" s="1"/>
  <c r="AG198" i="3" s="1"/>
  <c r="H810" i="6"/>
  <c r="AK194" i="3"/>
  <c r="H825" i="6"/>
  <c r="AK193" i="3"/>
  <c r="AK196" i="3" s="1"/>
  <c r="AK198" i="3" s="1"/>
  <c r="AH194" i="3"/>
  <c r="AX32" i="3"/>
  <c r="AL194" i="3"/>
  <c r="AH193" i="3"/>
  <c r="AH196" i="3" s="1"/>
  <c r="AH198" i="3" s="1"/>
  <c r="AL193" i="3"/>
  <c r="AL196" i="3" s="1"/>
  <c r="AL198" i="3" s="1"/>
  <c r="AX33" i="3"/>
  <c r="AX35" i="3" s="1"/>
  <c r="BA12" i="3" s="1"/>
  <c r="BA16" i="3" s="1"/>
  <c r="AX36" i="3"/>
  <c r="BA13" i="3" s="1"/>
  <c r="BA17" i="3" s="1"/>
  <c r="AO195" i="3"/>
  <c r="AO197" i="3" s="1"/>
  <c r="AS33" i="3"/>
  <c r="AS35" i="3" s="1"/>
  <c r="H765" i="6"/>
  <c r="AO193" i="3"/>
  <c r="AO196" i="3" s="1"/>
  <c r="AO198" i="3" s="1"/>
  <c r="Q644" i="6"/>
  <c r="Y35" i="3"/>
  <c r="H900" i="6"/>
  <c r="AR32" i="3"/>
  <c r="H780" i="6"/>
  <c r="H930" i="6"/>
  <c r="H915" i="6"/>
  <c r="BB28" i="3"/>
  <c r="BB29" i="3" s="1"/>
  <c r="BB30" i="3" s="1"/>
  <c r="BC12" i="3"/>
  <c r="BC16" i="3" s="1"/>
  <c r="BC26" i="3" s="1"/>
  <c r="BC27" i="3" s="1"/>
  <c r="AS31" i="3"/>
  <c r="AS34" i="3" s="1"/>
  <c r="AS36" i="3" s="1"/>
  <c r="S644" i="6"/>
  <c r="S632" i="6"/>
  <c r="AQ172" i="3"/>
  <c r="AQ174" i="3" s="1"/>
  <c r="AQ194" i="3"/>
  <c r="AQ195" i="3"/>
  <c r="AQ170" i="3"/>
  <c r="AQ173" i="3" s="1"/>
  <c r="AT140" i="3"/>
  <c r="AT139" i="3"/>
  <c r="AU135" i="3"/>
  <c r="AU181" i="3"/>
  <c r="AT186" i="3"/>
  <c r="AT185" i="3"/>
  <c r="AS144" i="3"/>
  <c r="AS142" i="3"/>
  <c r="AS143" i="3" s="1"/>
  <c r="AR168" i="3"/>
  <c r="AR169" i="3" s="1"/>
  <c r="AR145" i="3"/>
  <c r="AR146" i="3" s="1"/>
  <c r="AS165" i="3"/>
  <c r="AS166" i="3" s="1"/>
  <c r="AS167" i="3"/>
  <c r="AQ148" i="3"/>
  <c r="AQ149" i="3"/>
  <c r="AQ151" i="3" s="1"/>
  <c r="AQ147" i="3"/>
  <c r="AQ150" i="3" s="1"/>
  <c r="AS188" i="3"/>
  <c r="AS189" i="3" s="1"/>
  <c r="AS190" i="3"/>
  <c r="AT163" i="3"/>
  <c r="AU158" i="3"/>
  <c r="AT162" i="3"/>
  <c r="AR191" i="3"/>
  <c r="AR192" i="3" s="1"/>
  <c r="AN198" i="3"/>
  <c r="AJ198" i="3"/>
  <c r="DC98" i="7"/>
  <c r="DD98" i="7" s="1"/>
  <c r="DE98" i="7" s="1"/>
  <c r="DK98" i="7" s="1"/>
  <c r="DN98" i="7" s="1"/>
  <c r="Z18" i="3"/>
  <c r="AI12" i="3"/>
  <c r="AI16" i="3" s="1"/>
  <c r="AI26" i="3" s="1"/>
  <c r="AI27" i="3" s="1"/>
  <c r="DF169" i="7"/>
  <c r="BI23" i="7" s="1"/>
  <c r="DC118" i="7"/>
  <c r="DD118" i="7" s="1"/>
  <c r="DE118" i="7" s="1"/>
  <c r="DF118" i="7" s="1"/>
  <c r="AP22" i="7" s="1"/>
  <c r="DB180" i="7"/>
  <c r="DA92" i="7"/>
  <c r="DJ92" i="7" s="1"/>
  <c r="DE180" i="7"/>
  <c r="DK180" i="7" s="1"/>
  <c r="DJ168" i="7"/>
  <c r="DJ180" i="7"/>
  <c r="DJ58" i="7"/>
  <c r="BA75" i="3"/>
  <c r="AK28" i="3"/>
  <c r="AK26" i="3"/>
  <c r="AK27" i="3" s="1"/>
  <c r="AP13" i="3"/>
  <c r="AP17" i="3" s="1"/>
  <c r="AQ13" i="3"/>
  <c r="AQ17" i="3" s="1"/>
  <c r="X30" i="3"/>
  <c r="AZ75" i="3"/>
  <c r="AZ73" i="3"/>
  <c r="AZ74" i="3" s="1"/>
  <c r="BK26" i="3"/>
  <c r="BK27" i="3" s="1"/>
  <c r="BK28" i="3"/>
  <c r="AT12" i="3"/>
  <c r="AT16" i="3" s="1"/>
  <c r="Z35" i="3"/>
  <c r="AU12" i="3"/>
  <c r="AU16" i="3" s="1"/>
  <c r="BM28" i="3"/>
  <c r="BM26" i="3"/>
  <c r="BM27" i="3" s="1"/>
  <c r="BL28" i="3"/>
  <c r="BL26" i="3"/>
  <c r="BL27" i="3" s="1"/>
  <c r="BN26" i="3"/>
  <c r="BN27" i="3" s="1"/>
  <c r="BN28" i="3"/>
  <c r="Z29" i="3"/>
  <c r="AO12" i="3"/>
  <c r="AO16" i="3" s="1"/>
  <c r="AN12" i="3"/>
  <c r="AN16" i="3" s="1"/>
  <c r="BL50" i="3"/>
  <c r="BL51" i="3" s="1"/>
  <c r="BL52" i="3"/>
  <c r="AH26" i="3"/>
  <c r="AH27" i="3" s="1"/>
  <c r="AH28" i="3"/>
  <c r="AJ26" i="3"/>
  <c r="AJ27" i="3" s="1"/>
  <c r="AJ28" i="3"/>
  <c r="DC185" i="7"/>
  <c r="DD185" i="7" s="1"/>
  <c r="DE185" i="7" s="1"/>
  <c r="DK185" i="7" s="1"/>
  <c r="DF62" i="7"/>
  <c r="W16" i="7" s="1"/>
  <c r="DC119" i="7"/>
  <c r="DD119" i="7" s="1"/>
  <c r="DE119" i="7" s="1"/>
  <c r="DF119" i="7" s="1"/>
  <c r="AP23" i="7" s="1"/>
  <c r="DB205" i="7"/>
  <c r="DC191" i="7"/>
  <c r="DD191" i="7" s="1"/>
  <c r="DE191" i="7" s="1"/>
  <c r="DF191" i="7" s="1"/>
  <c r="BI45" i="7" s="1"/>
  <c r="DC171" i="7"/>
  <c r="DD171" i="7" s="1"/>
  <c r="DE171" i="7" s="1"/>
  <c r="DK171" i="7" s="1"/>
  <c r="DE63" i="7"/>
  <c r="DK63" i="7" s="1"/>
  <c r="DB123" i="7"/>
  <c r="DF198" i="7"/>
  <c r="BI52" i="7" s="1"/>
  <c r="DF128" i="7"/>
  <c r="AP32" i="7" s="1"/>
  <c r="DJ111" i="7"/>
  <c r="DJ198" i="7"/>
  <c r="DC89" i="7"/>
  <c r="DD89" i="7" s="1"/>
  <c r="DE89" i="7" s="1"/>
  <c r="DK89" i="7" s="1"/>
  <c r="DA136" i="7"/>
  <c r="DC136" i="7" s="1"/>
  <c r="DD136" i="7" s="1"/>
  <c r="DE136" i="7" s="1"/>
  <c r="DC166" i="7"/>
  <c r="DD166" i="7" s="1"/>
  <c r="DE166" i="7" s="1"/>
  <c r="DF70" i="7"/>
  <c r="W24" i="7" s="1"/>
  <c r="DJ86" i="7"/>
  <c r="DJ164" i="7"/>
  <c r="DC153" i="7"/>
  <c r="DD153" i="7" s="1"/>
  <c r="DE153" i="7" s="1"/>
  <c r="DF153" i="7" s="1"/>
  <c r="AP57" i="7" s="1"/>
  <c r="DJ88" i="7"/>
  <c r="DB121" i="7"/>
  <c r="DJ117" i="7"/>
  <c r="DJ173" i="7"/>
  <c r="DC161" i="7"/>
  <c r="DD161" i="7" s="1"/>
  <c r="DE161" i="7" s="1"/>
  <c r="DF161" i="7" s="1"/>
  <c r="BI15" i="7" s="1"/>
  <c r="DJ102" i="7"/>
  <c r="DC188" i="7"/>
  <c r="DD188" i="7" s="1"/>
  <c r="DE188" i="7" s="1"/>
  <c r="DF188" i="7" s="1"/>
  <c r="BI42" i="7" s="1"/>
  <c r="DA143" i="7"/>
  <c r="DC143" i="7" s="1"/>
  <c r="DD143" i="7" s="1"/>
  <c r="DE143" i="7" s="1"/>
  <c r="DJ197" i="7"/>
  <c r="DC186" i="7"/>
  <c r="DD186" i="7" s="1"/>
  <c r="DE186" i="7" s="1"/>
  <c r="DF186" i="7" s="1"/>
  <c r="BI40" i="7" s="1"/>
  <c r="DK160" i="7"/>
  <c r="DL160" i="7" s="1"/>
  <c r="DM160" i="7" s="1"/>
  <c r="DC203" i="7"/>
  <c r="DD203" i="7" s="1"/>
  <c r="DE203" i="7" s="1"/>
  <c r="DF203" i="7" s="1"/>
  <c r="BI57" i="7" s="1"/>
  <c r="DJ110" i="7"/>
  <c r="DJ160" i="7"/>
  <c r="DB61" i="7"/>
  <c r="DJ178" i="7"/>
  <c r="DF96" i="7"/>
  <c r="W50" i="7" s="1"/>
  <c r="DJ94" i="7"/>
  <c r="DC158" i="7"/>
  <c r="DD158" i="7" s="1"/>
  <c r="DE158" i="7" s="1"/>
  <c r="DF158" i="7" s="1"/>
  <c r="BI12" i="7" s="1"/>
  <c r="DC159" i="7"/>
  <c r="DD159" i="7" s="1"/>
  <c r="DE159" i="7" s="1"/>
  <c r="DK159" i="7" s="1"/>
  <c r="DL159" i="7" s="1"/>
  <c r="DM159" i="7" s="1"/>
  <c r="DJ63" i="7"/>
  <c r="DB129" i="7"/>
  <c r="DE206" i="7"/>
  <c r="DK206" i="7" s="1"/>
  <c r="DF168" i="7"/>
  <c r="BI22" i="7" s="1"/>
  <c r="DC127" i="7"/>
  <c r="DD127" i="7" s="1"/>
  <c r="DE127" i="7" s="1"/>
  <c r="DF127" i="7" s="1"/>
  <c r="AP31" i="7" s="1"/>
  <c r="DN168" i="7"/>
  <c r="DO168" i="7" s="1"/>
  <c r="DP168" i="7" s="1"/>
  <c r="DQ168" i="7" s="1"/>
  <c r="DJ99" i="7"/>
  <c r="DJ189" i="7"/>
  <c r="DJ179" i="7"/>
  <c r="DJ64" i="7"/>
  <c r="DC64" i="7"/>
  <c r="DD64" i="7" s="1"/>
  <c r="DE64" i="7" s="1"/>
  <c r="DJ93" i="7"/>
  <c r="DC196" i="7"/>
  <c r="DD196" i="7" s="1"/>
  <c r="DE196" i="7" s="1"/>
  <c r="DK196" i="7" s="1"/>
  <c r="DC73" i="7"/>
  <c r="DD73" i="7" s="1"/>
  <c r="DE73" i="7" s="1"/>
  <c r="DK73" i="7" s="1"/>
  <c r="DF87" i="7"/>
  <c r="W41" i="7" s="1"/>
  <c r="DJ125" i="7"/>
  <c r="DJ167" i="7"/>
  <c r="DC114" i="7"/>
  <c r="DD114" i="7" s="1"/>
  <c r="DE114" i="7" s="1"/>
  <c r="DJ114" i="7"/>
  <c r="DC95" i="7"/>
  <c r="DD95" i="7" s="1"/>
  <c r="DE95" i="7" s="1"/>
  <c r="DF95" i="7" s="1"/>
  <c r="W49" i="7" s="1"/>
  <c r="DJ87" i="7"/>
  <c r="DJ138" i="7"/>
  <c r="DF155" i="7"/>
  <c r="AP59" i="7" s="1"/>
  <c r="DA172" i="7"/>
  <c r="DJ172" i="7" s="1"/>
  <c r="DB138" i="7"/>
  <c r="DC187" i="7"/>
  <c r="DD187" i="7" s="1"/>
  <c r="DE187" i="7" s="1"/>
  <c r="DF187" i="7" s="1"/>
  <c r="BI41" i="7" s="1"/>
  <c r="DJ81" i="7"/>
  <c r="DJ61" i="7"/>
  <c r="DF132" i="7"/>
  <c r="AP36" i="7" s="1"/>
  <c r="DC82" i="7"/>
  <c r="DD82" i="7" s="1"/>
  <c r="DE82" i="7" s="1"/>
  <c r="DA71" i="7"/>
  <c r="DC71" i="7" s="1"/>
  <c r="DD71" i="7" s="1"/>
  <c r="DE71" i="7" s="1"/>
  <c r="DJ131" i="7"/>
  <c r="DC109" i="7"/>
  <c r="DD109" i="7" s="1"/>
  <c r="DE109" i="7" s="1"/>
  <c r="DF109" i="7" s="1"/>
  <c r="AP13" i="7" s="1"/>
  <c r="DC129" i="7"/>
  <c r="DD129" i="7" s="1"/>
  <c r="DE129" i="7" s="1"/>
  <c r="DK129" i="7" s="1"/>
  <c r="DJ206" i="7"/>
  <c r="DC170" i="7"/>
  <c r="DD170" i="7" s="1"/>
  <c r="DE170" i="7" s="1"/>
  <c r="DF170" i="7" s="1"/>
  <c r="BI24" i="7" s="1"/>
  <c r="DA190" i="7"/>
  <c r="DC190" i="7" s="1"/>
  <c r="DD190" i="7" s="1"/>
  <c r="DE190" i="7" s="1"/>
  <c r="DJ175" i="7"/>
  <c r="DB126" i="7"/>
  <c r="DJ146" i="7"/>
  <c r="DE125" i="7"/>
  <c r="DK125" i="7" s="1"/>
  <c r="DJ123" i="7"/>
  <c r="DC154" i="7"/>
  <c r="DD154" i="7" s="1"/>
  <c r="DE154" i="7" s="1"/>
  <c r="DK154" i="7" s="1"/>
  <c r="DA147" i="7"/>
  <c r="DC147" i="7" s="1"/>
  <c r="DD147" i="7" s="1"/>
  <c r="DE147" i="7" s="1"/>
  <c r="DC192" i="7"/>
  <c r="DD192" i="7" s="1"/>
  <c r="DE192" i="7" s="1"/>
  <c r="DJ192" i="7"/>
  <c r="DJ144" i="7"/>
  <c r="DC144" i="7"/>
  <c r="DD144" i="7" s="1"/>
  <c r="DE144" i="7" s="1"/>
  <c r="DC177" i="7"/>
  <c r="DD177" i="7" s="1"/>
  <c r="DE177" i="7" s="1"/>
  <c r="DF177" i="7" s="1"/>
  <c r="BI31" i="7" s="1"/>
  <c r="DA137" i="7"/>
  <c r="DJ137" i="7" s="1"/>
  <c r="DK69" i="7"/>
  <c r="DL69" i="7" s="1"/>
  <c r="DM69" i="7" s="1"/>
  <c r="DJ107" i="7"/>
  <c r="DC107" i="7"/>
  <c r="DD107" i="7" s="1"/>
  <c r="DE107" i="7" s="1"/>
  <c r="DC184" i="7"/>
  <c r="DD184" i="7" s="1"/>
  <c r="DE184" i="7" s="1"/>
  <c r="DJ184" i="7"/>
  <c r="DE106" i="7"/>
  <c r="DF106" i="7" s="1"/>
  <c r="W60" i="7" s="1"/>
  <c r="DE146" i="7"/>
  <c r="DK146" i="7" s="1"/>
  <c r="DC152" i="7"/>
  <c r="DD152" i="7" s="1"/>
  <c r="DE152" i="7" s="1"/>
  <c r="DJ152" i="7"/>
  <c r="DJ106" i="7"/>
  <c r="DA75" i="7"/>
  <c r="DJ75" i="7" s="1"/>
  <c r="DA202" i="7"/>
  <c r="DF102" i="7"/>
  <c r="W56" i="7" s="1"/>
  <c r="DK102" i="7"/>
  <c r="DA77" i="7"/>
  <c r="DC77" i="7" s="1"/>
  <c r="DD77" i="7" s="1"/>
  <c r="DE77" i="7" s="1"/>
  <c r="DK111" i="7"/>
  <c r="DF111" i="7"/>
  <c r="AP15" i="7" s="1"/>
  <c r="DF94" i="7"/>
  <c r="W48" i="7" s="1"/>
  <c r="DK94" i="7"/>
  <c r="DF167" i="7"/>
  <c r="BI21" i="7" s="1"/>
  <c r="DK167" i="7"/>
  <c r="DJ76" i="7"/>
  <c r="DC76" i="7"/>
  <c r="DD76" i="7" s="1"/>
  <c r="DE76" i="7" s="1"/>
  <c r="DC90" i="7"/>
  <c r="DD90" i="7" s="1"/>
  <c r="DE90" i="7" s="1"/>
  <c r="DJ90" i="7"/>
  <c r="DJ104" i="7"/>
  <c r="DC104" i="7"/>
  <c r="DD104" i="7" s="1"/>
  <c r="DE104" i="7" s="1"/>
  <c r="DB80" i="7"/>
  <c r="DA80" i="7"/>
  <c r="DN128" i="7"/>
  <c r="DL128" i="7"/>
  <c r="DM128" i="7" s="1"/>
  <c r="DK110" i="7"/>
  <c r="DF110" i="7"/>
  <c r="AP14" i="7" s="1"/>
  <c r="DJ165" i="7"/>
  <c r="DC165" i="7"/>
  <c r="DD165" i="7" s="1"/>
  <c r="DE165" i="7" s="1"/>
  <c r="DC204" i="7"/>
  <c r="DD204" i="7" s="1"/>
  <c r="DE204" i="7" s="1"/>
  <c r="DJ204" i="7"/>
  <c r="DC116" i="7"/>
  <c r="DD116" i="7" s="1"/>
  <c r="DE116" i="7" s="1"/>
  <c r="DJ116" i="7"/>
  <c r="DC157" i="7"/>
  <c r="DD157" i="7" s="1"/>
  <c r="DE157" i="7" s="1"/>
  <c r="DJ157" i="7"/>
  <c r="DB141" i="7"/>
  <c r="DA141" i="7"/>
  <c r="DJ176" i="7"/>
  <c r="DC176" i="7"/>
  <c r="DD176" i="7" s="1"/>
  <c r="DE176" i="7" s="1"/>
  <c r="DC100" i="7"/>
  <c r="DD100" i="7" s="1"/>
  <c r="DE100" i="7" s="1"/>
  <c r="DJ100" i="7"/>
  <c r="DB134" i="7"/>
  <c r="DA134" i="7"/>
  <c r="DC149" i="7"/>
  <c r="DD149" i="7" s="1"/>
  <c r="DE149" i="7" s="1"/>
  <c r="DJ149" i="7"/>
  <c r="DN132" i="7"/>
  <c r="DL132" i="7"/>
  <c r="DM132" i="7" s="1"/>
  <c r="DJ163" i="7"/>
  <c r="DC163" i="7"/>
  <c r="DD163" i="7" s="1"/>
  <c r="DE163" i="7" s="1"/>
  <c r="DF91" i="7"/>
  <c r="W45" i="7" s="1"/>
  <c r="DK91" i="7"/>
  <c r="DL70" i="7"/>
  <c r="DM70" i="7" s="1"/>
  <c r="DN70" i="7"/>
  <c r="DC195" i="7"/>
  <c r="DD195" i="7" s="1"/>
  <c r="DE195" i="7" s="1"/>
  <c r="DJ195" i="7"/>
  <c r="DL87" i="7"/>
  <c r="DM87" i="7" s="1"/>
  <c r="DN87" i="7"/>
  <c r="DL199" i="7"/>
  <c r="DM199" i="7" s="1"/>
  <c r="DN199" i="7"/>
  <c r="DC65" i="7"/>
  <c r="DD65" i="7" s="1"/>
  <c r="DE65" i="7" s="1"/>
  <c r="DJ65" i="7"/>
  <c r="DF178" i="7"/>
  <c r="BI32" i="7" s="1"/>
  <c r="DK178" i="7"/>
  <c r="DC78" i="7"/>
  <c r="DD78" i="7" s="1"/>
  <c r="DE78" i="7" s="1"/>
  <c r="DJ78" i="7"/>
  <c r="DL169" i="7"/>
  <c r="DM169" i="7" s="1"/>
  <c r="DN169" i="7"/>
  <c r="DL198" i="7"/>
  <c r="DM198" i="7" s="1"/>
  <c r="DN198" i="7"/>
  <c r="DK123" i="7"/>
  <c r="DF123" i="7"/>
  <c r="AP27" i="7" s="1"/>
  <c r="DC193" i="7"/>
  <c r="DD193" i="7" s="1"/>
  <c r="DE193" i="7" s="1"/>
  <c r="DJ193" i="7"/>
  <c r="DN68" i="7"/>
  <c r="DL68" i="7"/>
  <c r="DM68" i="7" s="1"/>
  <c r="DB181" i="7"/>
  <c r="DA181" i="7"/>
  <c r="DC148" i="7"/>
  <c r="DD148" i="7" s="1"/>
  <c r="DE148" i="7" s="1"/>
  <c r="DJ148" i="7"/>
  <c r="DJ194" i="7"/>
  <c r="DC194" i="7"/>
  <c r="DD194" i="7" s="1"/>
  <c r="DE194" i="7" s="1"/>
  <c r="DF99" i="7"/>
  <c r="W53" i="7" s="1"/>
  <c r="DK99" i="7"/>
  <c r="DF164" i="7"/>
  <c r="BI18" i="7" s="1"/>
  <c r="DK164" i="7"/>
  <c r="DF138" i="7"/>
  <c r="AP42" i="7" s="1"/>
  <c r="DK138" i="7"/>
  <c r="DC205" i="7"/>
  <c r="DD205" i="7" s="1"/>
  <c r="DE205" i="7" s="1"/>
  <c r="DJ205" i="7"/>
  <c r="DK58" i="7"/>
  <c r="DF58" i="7"/>
  <c r="W12" i="7" s="1"/>
  <c r="DB115" i="7"/>
  <c r="DA115" i="7"/>
  <c r="DJ83" i="7"/>
  <c r="DC83" i="7"/>
  <c r="DD83" i="7" s="1"/>
  <c r="DE83" i="7" s="1"/>
  <c r="DB174" i="7"/>
  <c r="DA174" i="7"/>
  <c r="DC101" i="7"/>
  <c r="DD101" i="7" s="1"/>
  <c r="DE101" i="7" s="1"/>
  <c r="DJ101" i="7"/>
  <c r="DK61" i="7"/>
  <c r="DF61" i="7"/>
  <c r="W15" i="7" s="1"/>
  <c r="DB139" i="7"/>
  <c r="DA139" i="7"/>
  <c r="DB135" i="7"/>
  <c r="DA135" i="7"/>
  <c r="DC66" i="7"/>
  <c r="DD66" i="7" s="1"/>
  <c r="DE66" i="7" s="1"/>
  <c r="DJ66" i="7"/>
  <c r="DC85" i="7"/>
  <c r="DD85" i="7" s="1"/>
  <c r="DE85" i="7" s="1"/>
  <c r="DJ85" i="7"/>
  <c r="DC151" i="7"/>
  <c r="DD151" i="7" s="1"/>
  <c r="DE151" i="7" s="1"/>
  <c r="DJ151" i="7"/>
  <c r="DC150" i="7"/>
  <c r="DD150" i="7" s="1"/>
  <c r="DE150" i="7" s="1"/>
  <c r="DJ150" i="7"/>
  <c r="DN155" i="7"/>
  <c r="DL155" i="7"/>
  <c r="DM155" i="7" s="1"/>
  <c r="DF86" i="7"/>
  <c r="W40" i="7" s="1"/>
  <c r="DK86" i="7"/>
  <c r="DL62" i="7"/>
  <c r="DM62" i="7" s="1"/>
  <c r="DN62" i="7"/>
  <c r="DF93" i="7"/>
  <c r="W47" i="7" s="1"/>
  <c r="DK93" i="7"/>
  <c r="DJ113" i="7"/>
  <c r="DC113" i="7"/>
  <c r="DD113" i="7" s="1"/>
  <c r="DE113" i="7" s="1"/>
  <c r="DA84" i="7"/>
  <c r="DC121" i="7"/>
  <c r="DD121" i="7" s="1"/>
  <c r="DE121" i="7" s="1"/>
  <c r="DJ121" i="7"/>
  <c r="DK131" i="7"/>
  <c r="DF131" i="7"/>
  <c r="AP35" i="7" s="1"/>
  <c r="DC67" i="7"/>
  <c r="DD67" i="7" s="1"/>
  <c r="DE67" i="7" s="1"/>
  <c r="DJ67" i="7"/>
  <c r="DB72" i="7"/>
  <c r="DA72" i="7"/>
  <c r="DN162" i="7"/>
  <c r="DL162" i="7"/>
  <c r="DM162" i="7" s="1"/>
  <c r="DB124" i="7"/>
  <c r="DA124" i="7"/>
  <c r="DN96" i="7"/>
  <c r="DL96" i="7"/>
  <c r="DM96" i="7" s="1"/>
  <c r="DF175" i="7"/>
  <c r="BI29" i="7" s="1"/>
  <c r="DK175" i="7"/>
  <c r="DF200" i="7"/>
  <c r="BI54" i="7" s="1"/>
  <c r="DK200" i="7"/>
  <c r="DC120" i="7"/>
  <c r="DD120" i="7" s="1"/>
  <c r="DE120" i="7" s="1"/>
  <c r="DJ120" i="7"/>
  <c r="DA183" i="7"/>
  <c r="DA97" i="7"/>
  <c r="DK173" i="7"/>
  <c r="DF173" i="7"/>
  <c r="BI27" i="7" s="1"/>
  <c r="DC57" i="7"/>
  <c r="DD57" i="7" s="1"/>
  <c r="DE57" i="7" s="1"/>
  <c r="DJ57" i="7"/>
  <c r="DB74" i="7"/>
  <c r="DA74" i="7"/>
  <c r="DB130" i="7"/>
  <c r="DA130" i="7"/>
  <c r="DF88" i="7"/>
  <c r="W42" i="7" s="1"/>
  <c r="DK88" i="7"/>
  <c r="DB133" i="7"/>
  <c r="DA133" i="7"/>
  <c r="DK201" i="7"/>
  <c r="DF201" i="7"/>
  <c r="BI55" i="7" s="1"/>
  <c r="DL112" i="7"/>
  <c r="DM112" i="7" s="1"/>
  <c r="DN112" i="7"/>
  <c r="DB79" i="7"/>
  <c r="DA79" i="7"/>
  <c r="DC142" i="7"/>
  <c r="DD142" i="7" s="1"/>
  <c r="DE142" i="7" s="1"/>
  <c r="DJ142" i="7"/>
  <c r="DC60" i="7"/>
  <c r="DD60" i="7" s="1"/>
  <c r="DE60" i="7" s="1"/>
  <c r="DJ60" i="7"/>
  <c r="DB122" i="7"/>
  <c r="DA122" i="7"/>
  <c r="DK179" i="7"/>
  <c r="DF179" i="7"/>
  <c r="BI33" i="7" s="1"/>
  <c r="DJ108" i="7"/>
  <c r="DC108" i="7"/>
  <c r="DD108" i="7" s="1"/>
  <c r="DE108" i="7" s="1"/>
  <c r="DJ59" i="7"/>
  <c r="DC59" i="7"/>
  <c r="DD59" i="7" s="1"/>
  <c r="DE59" i="7" s="1"/>
  <c r="DC156" i="7"/>
  <c r="DD156" i="7" s="1"/>
  <c r="DE156" i="7" s="1"/>
  <c r="DJ156" i="7"/>
  <c r="DK197" i="7"/>
  <c r="DF197" i="7"/>
  <c r="BI51" i="7" s="1"/>
  <c r="DC140" i="7"/>
  <c r="DD140" i="7" s="1"/>
  <c r="DE140" i="7" s="1"/>
  <c r="DJ140" i="7"/>
  <c r="DB145" i="7"/>
  <c r="DA145" i="7"/>
  <c r="DF103" i="7"/>
  <c r="W57" i="7" s="1"/>
  <c r="DK103" i="7"/>
  <c r="DF189" i="7"/>
  <c r="BI43" i="7" s="1"/>
  <c r="DK189" i="7"/>
  <c r="DK81" i="7"/>
  <c r="DF81" i="7"/>
  <c r="W35" i="7" s="1"/>
  <c r="DF117" i="7"/>
  <c r="AP21" i="7" s="1"/>
  <c r="DK117" i="7"/>
  <c r="DJ105" i="7"/>
  <c r="DC105" i="7"/>
  <c r="DD105" i="7" s="1"/>
  <c r="DE105" i="7" s="1"/>
  <c r="DC126" i="7"/>
  <c r="DD126" i="7" s="1"/>
  <c r="DE126" i="7" s="1"/>
  <c r="DJ126" i="7"/>
  <c r="DF182" i="7"/>
  <c r="BI36" i="7" s="1"/>
  <c r="DK182" i="7"/>
  <c r="X63" i="3" l="1"/>
  <c r="AZ42" i="3"/>
  <c r="AZ46" i="3" s="1"/>
  <c r="N644" i="6"/>
  <c r="BM50" i="3"/>
  <c r="BM51" i="3" s="1"/>
  <c r="BM53" i="3" s="1"/>
  <c r="BM54" i="3" s="1"/>
  <c r="BN75" i="3"/>
  <c r="BN76" i="3" s="1"/>
  <c r="BN77" i="3" s="1"/>
  <c r="BK50" i="3"/>
  <c r="BK51" i="3" s="1"/>
  <c r="BK53" i="3" s="1"/>
  <c r="BK54" i="3" s="1"/>
  <c r="BN50" i="3"/>
  <c r="BN51" i="3" s="1"/>
  <c r="BN53" i="3" s="1"/>
  <c r="BN54" i="3" s="1"/>
  <c r="BK73" i="3"/>
  <c r="BK74" i="3" s="1"/>
  <c r="BK76" i="3" s="1"/>
  <c r="BK77" i="3" s="1"/>
  <c r="BK80" i="3" s="1"/>
  <c r="BL73" i="3"/>
  <c r="BL74" i="3" s="1"/>
  <c r="BL76" i="3" s="1"/>
  <c r="BL77" i="3" s="1"/>
  <c r="BL78" i="3" s="1"/>
  <c r="BL81" i="3" s="1"/>
  <c r="Z30" i="3"/>
  <c r="AQ12" i="3"/>
  <c r="AQ16" i="3" s="1"/>
  <c r="AQ28" i="3" s="1"/>
  <c r="W35" i="3"/>
  <c r="P656" i="6"/>
  <c r="BC73" i="3"/>
  <c r="BC74" i="3" s="1"/>
  <c r="BC76" i="3" s="1"/>
  <c r="BC77" i="3" s="1"/>
  <c r="BC79" i="3" s="1"/>
  <c r="X29" i="3"/>
  <c r="Q656" i="6"/>
  <c r="BK43" i="7"/>
  <c r="BM43" i="7" s="1"/>
  <c r="BN43" i="7"/>
  <c r="BW43" i="7"/>
  <c r="BQ43" i="7"/>
  <c r="BL43" i="7"/>
  <c r="BR43" i="7"/>
  <c r="AB42" i="7"/>
  <c r="Y42" i="7"/>
  <c r="AE42" i="7"/>
  <c r="Z42" i="7"/>
  <c r="AK42" i="7"/>
  <c r="AF42" i="7"/>
  <c r="BK29" i="7"/>
  <c r="BM29" i="7" s="1"/>
  <c r="BL29" i="7"/>
  <c r="BN29" i="7"/>
  <c r="BW29" i="7"/>
  <c r="BQ29" i="7"/>
  <c r="BR29" i="7"/>
  <c r="Z12" i="7"/>
  <c r="AE12" i="7"/>
  <c r="AB12" i="7"/>
  <c r="AK12" i="7"/>
  <c r="Y12" i="7"/>
  <c r="AF12" i="7"/>
  <c r="AU14" i="7"/>
  <c r="AR14" i="7"/>
  <c r="BD14" i="7"/>
  <c r="AX14" i="7"/>
  <c r="AS14" i="7"/>
  <c r="AY14" i="7"/>
  <c r="BD15" i="7"/>
  <c r="AS15" i="7"/>
  <c r="AX15" i="7"/>
  <c r="AR15" i="7"/>
  <c r="AU15" i="7"/>
  <c r="AY15" i="7"/>
  <c r="BN42" i="7"/>
  <c r="BL42" i="7"/>
  <c r="BK42" i="7"/>
  <c r="BQ42" i="7"/>
  <c r="BW42" i="7"/>
  <c r="BR42" i="7"/>
  <c r="BD32" i="7"/>
  <c r="AX32" i="7"/>
  <c r="AS32" i="7"/>
  <c r="AU32" i="7"/>
  <c r="AR32" i="7"/>
  <c r="AT32" i="7" s="1"/>
  <c r="AY32" i="7"/>
  <c r="Z35" i="7"/>
  <c r="Y35" i="7"/>
  <c r="AK35" i="7"/>
  <c r="AB35" i="7"/>
  <c r="AE35" i="7"/>
  <c r="AF35" i="7"/>
  <c r="BL52" i="7"/>
  <c r="BN52" i="7"/>
  <c r="BK52" i="7"/>
  <c r="BQ52" i="7"/>
  <c r="BW52" i="7"/>
  <c r="BR52" i="7"/>
  <c r="BK31" i="7"/>
  <c r="BM31" i="7" s="1"/>
  <c r="BN31" i="7"/>
  <c r="BW31" i="7"/>
  <c r="BL31" i="7"/>
  <c r="BQ31" i="7"/>
  <c r="BR31" i="7"/>
  <c r="AS13" i="7"/>
  <c r="AX13" i="7"/>
  <c r="AR13" i="7"/>
  <c r="BD13" i="7"/>
  <c r="AU13" i="7"/>
  <c r="AY13" i="7"/>
  <c r="BN15" i="7"/>
  <c r="BK15" i="7"/>
  <c r="BQ15" i="7"/>
  <c r="BL15" i="7"/>
  <c r="BW15" i="7"/>
  <c r="BR15" i="7"/>
  <c r="BQ24" i="7"/>
  <c r="BK24" i="7"/>
  <c r="BM24" i="7" s="1"/>
  <c r="BL24" i="7"/>
  <c r="BN24" i="7"/>
  <c r="BW24" i="7"/>
  <c r="BR24" i="7"/>
  <c r="AB47" i="7"/>
  <c r="AE47" i="7"/>
  <c r="Z47" i="7"/>
  <c r="Y47" i="7"/>
  <c r="AK47" i="7"/>
  <c r="AF47" i="7"/>
  <c r="BD27" i="7"/>
  <c r="AS27" i="7"/>
  <c r="AR27" i="7"/>
  <c r="AT27" i="7" s="1"/>
  <c r="AU27" i="7"/>
  <c r="AX27" i="7"/>
  <c r="AY27" i="7"/>
  <c r="Y56" i="7"/>
  <c r="AK56" i="7"/>
  <c r="AE56" i="7"/>
  <c r="Z56" i="7"/>
  <c r="AB56" i="7"/>
  <c r="AF56" i="7"/>
  <c r="Z41" i="7"/>
  <c r="Y41" i="7"/>
  <c r="AE41" i="7"/>
  <c r="AB41" i="7"/>
  <c r="AK41" i="7"/>
  <c r="AF41" i="7"/>
  <c r="BN12" i="7"/>
  <c r="BQ12" i="7"/>
  <c r="BW12" i="7"/>
  <c r="BL12" i="7"/>
  <c r="BK12" i="7"/>
  <c r="BR12" i="7"/>
  <c r="Z57" i="7"/>
  <c r="AK57" i="7"/>
  <c r="AE57" i="7"/>
  <c r="Y57" i="7"/>
  <c r="AB57" i="7"/>
  <c r="AF57" i="7"/>
  <c r="AR42" i="7"/>
  <c r="AU42" i="7"/>
  <c r="BD42" i="7"/>
  <c r="AS42" i="7"/>
  <c r="AX42" i="7"/>
  <c r="AY42" i="7"/>
  <c r="BK45" i="7"/>
  <c r="BM45" i="7" s="1"/>
  <c r="BW45" i="7"/>
  <c r="BQ45" i="7"/>
  <c r="BL45" i="7"/>
  <c r="BN45" i="7"/>
  <c r="BR45" i="7"/>
  <c r="BW36" i="7"/>
  <c r="BQ36" i="7"/>
  <c r="BL36" i="7"/>
  <c r="BK36" i="7"/>
  <c r="BM36" i="7" s="1"/>
  <c r="BN36" i="7"/>
  <c r="BR36" i="7"/>
  <c r="Y15" i="7"/>
  <c r="Z15" i="7"/>
  <c r="AE15" i="7"/>
  <c r="AK15" i="7"/>
  <c r="AB15" i="7"/>
  <c r="AF15" i="7"/>
  <c r="AS36" i="7"/>
  <c r="BD36" i="7"/>
  <c r="AX36" i="7"/>
  <c r="AU36" i="7"/>
  <c r="AR36" i="7"/>
  <c r="AT36" i="7" s="1"/>
  <c r="AY36" i="7"/>
  <c r="AK50" i="7"/>
  <c r="Z50" i="7"/>
  <c r="AB50" i="7"/>
  <c r="Y50" i="7"/>
  <c r="AE50" i="7"/>
  <c r="AF50" i="7"/>
  <c r="BL33" i="7"/>
  <c r="BN33" i="7"/>
  <c r="BW33" i="7"/>
  <c r="BK33" i="7"/>
  <c r="BQ33" i="7"/>
  <c r="BR33" i="7"/>
  <c r="Z48" i="7"/>
  <c r="AK48" i="7"/>
  <c r="AB48" i="7"/>
  <c r="AE48" i="7"/>
  <c r="Y48" i="7"/>
  <c r="AF48" i="7"/>
  <c r="AR57" i="7"/>
  <c r="AT57" i="7" s="1"/>
  <c r="BD57" i="7"/>
  <c r="AX57" i="7"/>
  <c r="AU57" i="7"/>
  <c r="AS57" i="7"/>
  <c r="AY57" i="7"/>
  <c r="BQ54" i="7"/>
  <c r="BL54" i="7"/>
  <c r="BK54" i="7"/>
  <c r="BW54" i="7"/>
  <c r="BN54" i="7"/>
  <c r="BR54" i="7"/>
  <c r="AE49" i="7"/>
  <c r="Z49" i="7"/>
  <c r="Y49" i="7"/>
  <c r="AB49" i="7"/>
  <c r="AK49" i="7"/>
  <c r="AF49" i="7"/>
  <c r="BK51" i="7"/>
  <c r="BN51" i="7"/>
  <c r="BQ51" i="7"/>
  <c r="BW51" i="7"/>
  <c r="BL51" i="7"/>
  <c r="BR51" i="7"/>
  <c r="BL27" i="7"/>
  <c r="BQ27" i="7"/>
  <c r="BN27" i="7"/>
  <c r="BW27" i="7"/>
  <c r="BK27" i="7"/>
  <c r="BR27" i="7"/>
  <c r="AK40" i="7"/>
  <c r="Y40" i="7"/>
  <c r="AB40" i="7"/>
  <c r="AE40" i="7"/>
  <c r="Z40" i="7"/>
  <c r="AF40" i="7"/>
  <c r="BW18" i="7"/>
  <c r="BQ18" i="7"/>
  <c r="BN18" i="7"/>
  <c r="BK18" i="7"/>
  <c r="BL18" i="7"/>
  <c r="BR18" i="7"/>
  <c r="AX23" i="7"/>
  <c r="BD23" i="7"/>
  <c r="AU23" i="7"/>
  <c r="AS23" i="7"/>
  <c r="AR23" i="7"/>
  <c r="AY23" i="7"/>
  <c r="AK16" i="7"/>
  <c r="AE16" i="7"/>
  <c r="Z16" i="7"/>
  <c r="AB16" i="7"/>
  <c r="Y16" i="7"/>
  <c r="AF16" i="7"/>
  <c r="Y53" i="7"/>
  <c r="Z53" i="7"/>
  <c r="AB53" i="7"/>
  <c r="AK53" i="7"/>
  <c r="AE53" i="7"/>
  <c r="AF53" i="7"/>
  <c r="AK45" i="7"/>
  <c r="AB45" i="7"/>
  <c r="AE45" i="7"/>
  <c r="Y45" i="7"/>
  <c r="Z45" i="7"/>
  <c r="AF45" i="7"/>
  <c r="BQ41" i="7"/>
  <c r="BK41" i="7"/>
  <c r="BW41" i="7"/>
  <c r="BN41" i="7"/>
  <c r="BL41" i="7"/>
  <c r="BR41" i="7"/>
  <c r="BN22" i="7"/>
  <c r="BK22" i="7"/>
  <c r="BL22" i="7"/>
  <c r="BW22" i="7"/>
  <c r="BQ22" i="7"/>
  <c r="BR22" i="7"/>
  <c r="Y24" i="7"/>
  <c r="AE24" i="7"/>
  <c r="AB24" i="7"/>
  <c r="AK24" i="7"/>
  <c r="Z24" i="7"/>
  <c r="AF24" i="7"/>
  <c r="AX35" i="7"/>
  <c r="AR35" i="7"/>
  <c r="AU35" i="7"/>
  <c r="BD35" i="7"/>
  <c r="AS35" i="7"/>
  <c r="AY35" i="7"/>
  <c r="BL57" i="7"/>
  <c r="BW57" i="7"/>
  <c r="BQ57" i="7"/>
  <c r="BK57" i="7"/>
  <c r="BM57" i="7" s="1"/>
  <c r="BN57" i="7"/>
  <c r="BR57" i="7"/>
  <c r="AS22" i="7"/>
  <c r="AR22" i="7"/>
  <c r="BD22" i="7"/>
  <c r="AX22" i="7"/>
  <c r="AU22" i="7"/>
  <c r="AY22" i="7"/>
  <c r="BN55" i="7"/>
  <c r="BW55" i="7"/>
  <c r="BL55" i="7"/>
  <c r="BK55" i="7"/>
  <c r="BQ55" i="7"/>
  <c r="BR55" i="7"/>
  <c r="AK60" i="7"/>
  <c r="AB60" i="7"/>
  <c r="AE60" i="7"/>
  <c r="Z60" i="7"/>
  <c r="Y60" i="7"/>
  <c r="AF60" i="7"/>
  <c r="AX21" i="7"/>
  <c r="AU21" i="7"/>
  <c r="AR21" i="7"/>
  <c r="AT21" i="7" s="1"/>
  <c r="AS21" i="7"/>
  <c r="BD21" i="7"/>
  <c r="AY21" i="7"/>
  <c r="BD59" i="7"/>
  <c r="AU59" i="7"/>
  <c r="AR59" i="7"/>
  <c r="AS59" i="7"/>
  <c r="AX59" i="7"/>
  <c r="AY59" i="7"/>
  <c r="BW23" i="7"/>
  <c r="BK23" i="7"/>
  <c r="BM23" i="7" s="1"/>
  <c r="BN23" i="7"/>
  <c r="BL23" i="7"/>
  <c r="BQ23" i="7"/>
  <c r="BR23" i="7"/>
  <c r="BQ32" i="7"/>
  <c r="BK32" i="7"/>
  <c r="BN32" i="7"/>
  <c r="BW32" i="7"/>
  <c r="BL32" i="7"/>
  <c r="BR32" i="7"/>
  <c r="BK21" i="7"/>
  <c r="BN21" i="7"/>
  <c r="BQ21" i="7"/>
  <c r="BL21" i="7"/>
  <c r="BW21" i="7"/>
  <c r="BR21" i="7"/>
  <c r="BN40" i="7"/>
  <c r="BW40" i="7"/>
  <c r="BK40" i="7"/>
  <c r="BM40" i="7" s="1"/>
  <c r="BQ40" i="7"/>
  <c r="BL40" i="7"/>
  <c r="BR40" i="7"/>
  <c r="AS31" i="7"/>
  <c r="AU31" i="7"/>
  <c r="AR31" i="7"/>
  <c r="AT31" i="7" s="1"/>
  <c r="AX31" i="7"/>
  <c r="BD31" i="7"/>
  <c r="AY31" i="7"/>
  <c r="AO13" i="3"/>
  <c r="AO17" i="3" s="1"/>
  <c r="M656" i="6"/>
  <c r="AR656" i="6"/>
  <c r="AZ41" i="3"/>
  <c r="AZ45" i="3" s="1"/>
  <c r="AZ50" i="3" s="1"/>
  <c r="AZ51" i="3" s="1"/>
  <c r="H870" i="6"/>
  <c r="H885" i="6"/>
  <c r="Y36" i="3"/>
  <c r="BC52" i="3"/>
  <c r="BC53" i="3" s="1"/>
  <c r="BC54" i="3" s="1"/>
  <c r="BC56" i="3" s="1"/>
  <c r="S656" i="6"/>
  <c r="BA41" i="3"/>
  <c r="BA45" i="3" s="1"/>
  <c r="BA52" i="3" s="1"/>
  <c r="M644" i="6"/>
  <c r="O656" i="6"/>
  <c r="W36" i="3"/>
  <c r="N656" i="6"/>
  <c r="X42" i="3"/>
  <c r="AZ13" i="3"/>
  <c r="AZ17" i="3" s="1"/>
  <c r="R656" i="6"/>
  <c r="BC28" i="3"/>
  <c r="BC29" i="3" s="1"/>
  <c r="BC30" i="3" s="1"/>
  <c r="BC33" i="3" s="1"/>
  <c r="Z42" i="3"/>
  <c r="Y42" i="3"/>
  <c r="AZ12" i="3"/>
  <c r="AZ16" i="3" s="1"/>
  <c r="AZ28" i="3" s="1"/>
  <c r="BU53" i="7"/>
  <c r="BO53" i="7"/>
  <c r="BT53" i="7"/>
  <c r="BA16" i="7"/>
  <c r="AV16" i="7"/>
  <c r="BB16" i="7"/>
  <c r="AI23" i="7"/>
  <c r="AC23" i="7"/>
  <c r="AH23" i="7"/>
  <c r="BT14" i="7"/>
  <c r="BU14" i="7"/>
  <c r="BO14" i="7"/>
  <c r="BP14" i="7" s="1"/>
  <c r="P14" i="7" s="1"/>
  <c r="BO16" i="7"/>
  <c r="BT16" i="7"/>
  <c r="BU16" i="7"/>
  <c r="AC22" i="7"/>
  <c r="AI22" i="7"/>
  <c r="AH22" i="7"/>
  <c r="BM53" i="7"/>
  <c r="BP53" i="7" s="1"/>
  <c r="P53" i="7" s="1"/>
  <c r="AQ152" i="3"/>
  <c r="T632" i="6"/>
  <c r="AQ197" i="3"/>
  <c r="T656" i="6"/>
  <c r="AQ175" i="3"/>
  <c r="T644" i="6"/>
  <c r="AS191" i="3"/>
  <c r="AS192" i="3" s="1"/>
  <c r="AS193" i="3" s="1"/>
  <c r="AS196" i="3" s="1"/>
  <c r="AS168" i="3"/>
  <c r="AS169" i="3" s="1"/>
  <c r="AS171" i="3" s="1"/>
  <c r="AU185" i="3"/>
  <c r="AV181" i="3"/>
  <c r="AU186" i="3"/>
  <c r="AU163" i="3"/>
  <c r="AU162" i="3"/>
  <c r="AV158" i="3"/>
  <c r="AS145" i="3"/>
  <c r="AS146" i="3" s="1"/>
  <c r="AU139" i="3"/>
  <c r="AV135" i="3"/>
  <c r="AU140" i="3"/>
  <c r="AT167" i="3"/>
  <c r="AT165" i="3"/>
  <c r="AT166" i="3" s="1"/>
  <c r="AR149" i="3"/>
  <c r="AR151" i="3" s="1"/>
  <c r="AR148" i="3"/>
  <c r="AR147" i="3"/>
  <c r="AR150" i="3" s="1"/>
  <c r="AR194" i="3"/>
  <c r="AR195" i="3"/>
  <c r="AR197" i="3" s="1"/>
  <c r="AR193" i="3"/>
  <c r="AR196" i="3" s="1"/>
  <c r="AR170" i="3"/>
  <c r="AR173" i="3" s="1"/>
  <c r="AR171" i="3"/>
  <c r="AR172" i="3"/>
  <c r="AR174" i="3" s="1"/>
  <c r="AT190" i="3"/>
  <c r="AT188" i="3"/>
  <c r="AT189" i="3" s="1"/>
  <c r="AT142" i="3"/>
  <c r="AT143" i="3" s="1"/>
  <c r="AT144" i="3"/>
  <c r="DF98" i="7"/>
  <c r="W52" i="7" s="1"/>
  <c r="DL98" i="7"/>
  <c r="DM98" i="7" s="1"/>
  <c r="DO98" i="7" s="1"/>
  <c r="DP98" i="7" s="1"/>
  <c r="DQ98" i="7" s="1"/>
  <c r="AI28" i="3"/>
  <c r="AI29" i="3" s="1"/>
  <c r="AI30" i="3" s="1"/>
  <c r="DF180" i="7"/>
  <c r="BI34" i="7" s="1"/>
  <c r="DK118" i="7"/>
  <c r="DL118" i="7" s="1"/>
  <c r="DM118" i="7" s="1"/>
  <c r="DF171" i="7"/>
  <c r="BI25" i="7" s="1"/>
  <c r="DK191" i="7"/>
  <c r="DL191" i="7" s="1"/>
  <c r="DM191" i="7" s="1"/>
  <c r="DC92" i="7"/>
  <c r="DD92" i="7" s="1"/>
  <c r="DE92" i="7" s="1"/>
  <c r="DF92" i="7" s="1"/>
  <c r="W46" i="7" s="1"/>
  <c r="AU13" i="3"/>
  <c r="AU17" i="3" s="1"/>
  <c r="AT13" i="3"/>
  <c r="AT17" i="3" s="1"/>
  <c r="DK119" i="7"/>
  <c r="DN119" i="7" s="1"/>
  <c r="BK29" i="3"/>
  <c r="BK30" i="3" s="1"/>
  <c r="BM29" i="3"/>
  <c r="BM30" i="3" s="1"/>
  <c r="BL29" i="3"/>
  <c r="BL30" i="3" s="1"/>
  <c r="BN29" i="3"/>
  <c r="BN30" i="3" s="1"/>
  <c r="AK29" i="3"/>
  <c r="AK30" i="3" s="1"/>
  <c r="DF89" i="7"/>
  <c r="W43" i="7" s="1"/>
  <c r="DF185" i="7"/>
  <c r="BI39" i="7" s="1"/>
  <c r="AJ29" i="3"/>
  <c r="AJ30" i="3" s="1"/>
  <c r="BA76" i="3"/>
  <c r="BA77" i="3" s="1"/>
  <c r="AV12" i="3"/>
  <c r="AV16" i="3" s="1"/>
  <c r="AW12" i="3"/>
  <c r="AW16" i="3" s="1"/>
  <c r="Z36" i="3"/>
  <c r="BA26" i="3"/>
  <c r="BA27" i="3" s="1"/>
  <c r="BA28" i="3"/>
  <c r="AT26" i="3"/>
  <c r="AT27" i="3" s="1"/>
  <c r="AT28" i="3"/>
  <c r="BM79" i="3"/>
  <c r="BM80" i="3"/>
  <c r="BM78" i="3"/>
  <c r="BM81" i="3" s="1"/>
  <c r="AP28" i="3"/>
  <c r="AP26" i="3"/>
  <c r="AP27" i="3" s="1"/>
  <c r="AW13" i="3"/>
  <c r="AW17" i="3" s="1"/>
  <c r="AV13" i="3"/>
  <c r="AV17" i="3" s="1"/>
  <c r="X36" i="3"/>
  <c r="AH29" i="3"/>
  <c r="AH30" i="3" s="1"/>
  <c r="BL53" i="3"/>
  <c r="BL54" i="3" s="1"/>
  <c r="AO28" i="3"/>
  <c r="AO26" i="3"/>
  <c r="AO27" i="3" s="1"/>
  <c r="BB57" i="3"/>
  <c r="BB56" i="3"/>
  <c r="BB55" i="3"/>
  <c r="BB58" i="3" s="1"/>
  <c r="BB33" i="3"/>
  <c r="BB32" i="3"/>
  <c r="BB31" i="3"/>
  <c r="BB34" i="3" s="1"/>
  <c r="BB80" i="3"/>
  <c r="BB79" i="3"/>
  <c r="BB78" i="3"/>
  <c r="BB81" i="3" s="1"/>
  <c r="AN28" i="3"/>
  <c r="AN26" i="3"/>
  <c r="AN27" i="3" s="1"/>
  <c r="AU26" i="3"/>
  <c r="AU27" i="3" s="1"/>
  <c r="AU28" i="3"/>
  <c r="AZ76" i="3"/>
  <c r="AZ77" i="3" s="1"/>
  <c r="DF63" i="7"/>
  <c r="W17" i="7" s="1"/>
  <c r="DN160" i="7"/>
  <c r="DO160" i="7" s="1"/>
  <c r="DP160" i="7" s="1"/>
  <c r="DQ160" i="7" s="1"/>
  <c r="DK161" i="7"/>
  <c r="DL161" i="7" s="1"/>
  <c r="DM161" i="7" s="1"/>
  <c r="DF129" i="7"/>
  <c r="AP33" i="7" s="1"/>
  <c r="DK158" i="7"/>
  <c r="DN158" i="7" s="1"/>
  <c r="DJ143" i="7"/>
  <c r="DK203" i="7"/>
  <c r="DL203" i="7" s="1"/>
  <c r="DM203" i="7" s="1"/>
  <c r="DJ136" i="7"/>
  <c r="DK153" i="7"/>
  <c r="DN153" i="7" s="1"/>
  <c r="DF166" i="7"/>
  <c r="BI20" i="7" s="1"/>
  <c r="DK166" i="7"/>
  <c r="DK186" i="7"/>
  <c r="DN186" i="7" s="1"/>
  <c r="DF73" i="7"/>
  <c r="W27" i="7" s="1"/>
  <c r="DK188" i="7"/>
  <c r="DL188" i="7" s="1"/>
  <c r="DM188" i="7" s="1"/>
  <c r="DF206" i="7"/>
  <c r="BI60" i="7" s="1"/>
  <c r="DK127" i="7"/>
  <c r="DL127" i="7" s="1"/>
  <c r="DM127" i="7" s="1"/>
  <c r="DF196" i="7"/>
  <c r="BI50" i="7" s="1"/>
  <c r="DK95" i="7"/>
  <c r="DL95" i="7" s="1"/>
  <c r="DM95" i="7" s="1"/>
  <c r="DN69" i="7"/>
  <c r="DO69" i="7" s="1"/>
  <c r="DP69" i="7" s="1"/>
  <c r="DQ69" i="7" s="1"/>
  <c r="DC172" i="7"/>
  <c r="DD172" i="7" s="1"/>
  <c r="DE172" i="7" s="1"/>
  <c r="DK172" i="7" s="1"/>
  <c r="DF159" i="7"/>
  <c r="BI13" i="7" s="1"/>
  <c r="DN159" i="7"/>
  <c r="DO159" i="7" s="1"/>
  <c r="DP159" i="7" s="1"/>
  <c r="DQ159" i="7" s="1"/>
  <c r="DK64" i="7"/>
  <c r="DF64" i="7"/>
  <c r="W18" i="7" s="1"/>
  <c r="DK170" i="7"/>
  <c r="DN170" i="7" s="1"/>
  <c r="DC137" i="7"/>
  <c r="DD137" i="7" s="1"/>
  <c r="DE137" i="7" s="1"/>
  <c r="DK137" i="7" s="1"/>
  <c r="DF114" i="7"/>
  <c r="AP18" i="7" s="1"/>
  <c r="DK114" i="7"/>
  <c r="DK106" i="7"/>
  <c r="DL106" i="7" s="1"/>
  <c r="DM106" i="7" s="1"/>
  <c r="DK109" i="7"/>
  <c r="DN109" i="7" s="1"/>
  <c r="DF125" i="7"/>
  <c r="AP29" i="7" s="1"/>
  <c r="DJ71" i="7"/>
  <c r="DJ190" i="7"/>
  <c r="DF154" i="7"/>
  <c r="AP58" i="7" s="1"/>
  <c r="DK187" i="7"/>
  <c r="DF82" i="7"/>
  <c r="W36" i="7" s="1"/>
  <c r="DK82" i="7"/>
  <c r="DJ77" i="7"/>
  <c r="DJ147" i="7"/>
  <c r="DF144" i="7"/>
  <c r="AP48" i="7" s="1"/>
  <c r="DK144" i="7"/>
  <c r="DF192" i="7"/>
  <c r="BI46" i="7" s="1"/>
  <c r="DK192" i="7"/>
  <c r="DK107" i="7"/>
  <c r="DF107" i="7"/>
  <c r="AP11" i="7" s="1"/>
  <c r="DK177" i="7"/>
  <c r="DN177" i="7" s="1"/>
  <c r="DC75" i="7"/>
  <c r="DD75" i="7" s="1"/>
  <c r="DE75" i="7" s="1"/>
  <c r="DK75" i="7" s="1"/>
  <c r="DF184" i="7"/>
  <c r="BI38" i="7" s="1"/>
  <c r="DK184" i="7"/>
  <c r="DF146" i="7"/>
  <c r="AP50" i="7" s="1"/>
  <c r="DO68" i="7"/>
  <c r="DP68" i="7" s="1"/>
  <c r="DQ68" i="7" s="1"/>
  <c r="DL102" i="7"/>
  <c r="DM102" i="7" s="1"/>
  <c r="DN102" i="7"/>
  <c r="DF152" i="7"/>
  <c r="AP56" i="7" s="1"/>
  <c r="DK152" i="7"/>
  <c r="DO155" i="7"/>
  <c r="DP155" i="7" s="1"/>
  <c r="DQ155" i="7" s="1"/>
  <c r="DO87" i="7"/>
  <c r="DP87" i="7" s="1"/>
  <c r="DQ87" i="7" s="1"/>
  <c r="DO132" i="7"/>
  <c r="DP132" i="7" s="1"/>
  <c r="DQ132" i="7" s="1"/>
  <c r="DO128" i="7"/>
  <c r="DP128" i="7" s="1"/>
  <c r="DQ128" i="7" s="1"/>
  <c r="DC202" i="7"/>
  <c r="DD202" i="7" s="1"/>
  <c r="DE202" i="7" s="1"/>
  <c r="DJ202" i="7"/>
  <c r="DF59" i="7"/>
  <c r="W13" i="7" s="1"/>
  <c r="DK59" i="7"/>
  <c r="DK108" i="7"/>
  <c r="DF108" i="7"/>
  <c r="AP12" i="7" s="1"/>
  <c r="DF165" i="7"/>
  <c r="BI19" i="7" s="1"/>
  <c r="DK165" i="7"/>
  <c r="DK147" i="7"/>
  <c r="DF147" i="7"/>
  <c r="AP51" i="7" s="1"/>
  <c r="DK67" i="7"/>
  <c r="DF67" i="7"/>
  <c r="W21" i="7" s="1"/>
  <c r="DN103" i="7"/>
  <c r="DL103" i="7"/>
  <c r="DM103" i="7" s="1"/>
  <c r="DC145" i="7"/>
  <c r="DD145" i="7" s="1"/>
  <c r="DE145" i="7" s="1"/>
  <c r="DJ145" i="7"/>
  <c r="DC122" i="7"/>
  <c r="DD122" i="7" s="1"/>
  <c r="DE122" i="7" s="1"/>
  <c r="DJ122" i="7"/>
  <c r="DC79" i="7"/>
  <c r="DD79" i="7" s="1"/>
  <c r="DE79" i="7" s="1"/>
  <c r="DJ79" i="7"/>
  <c r="DC133" i="7"/>
  <c r="DD133" i="7" s="1"/>
  <c r="DE133" i="7" s="1"/>
  <c r="DJ133" i="7"/>
  <c r="DC74" i="7"/>
  <c r="DD74" i="7" s="1"/>
  <c r="DE74" i="7" s="1"/>
  <c r="DJ74" i="7"/>
  <c r="DC97" i="7"/>
  <c r="DD97" i="7" s="1"/>
  <c r="DE97" i="7" s="1"/>
  <c r="DJ97" i="7"/>
  <c r="DN200" i="7"/>
  <c r="DL200" i="7"/>
  <c r="DM200" i="7" s="1"/>
  <c r="DF113" i="7"/>
  <c r="AP17" i="7" s="1"/>
  <c r="DK113" i="7"/>
  <c r="DN86" i="7"/>
  <c r="DL86" i="7"/>
  <c r="DM86" i="7" s="1"/>
  <c r="DJ174" i="7"/>
  <c r="DC174" i="7"/>
  <c r="DD174" i="7" s="1"/>
  <c r="DE174" i="7" s="1"/>
  <c r="DJ115" i="7"/>
  <c r="DC115" i="7"/>
  <c r="DD115" i="7" s="1"/>
  <c r="DE115" i="7" s="1"/>
  <c r="DL164" i="7"/>
  <c r="DM164" i="7" s="1"/>
  <c r="DN164" i="7"/>
  <c r="DC181" i="7"/>
  <c r="DD181" i="7" s="1"/>
  <c r="DE181" i="7" s="1"/>
  <c r="DJ181" i="7"/>
  <c r="DL146" i="7"/>
  <c r="DM146" i="7" s="1"/>
  <c r="DN146" i="7"/>
  <c r="DF149" i="7"/>
  <c r="AP53" i="7" s="1"/>
  <c r="DK149" i="7"/>
  <c r="DF190" i="7"/>
  <c r="BI44" i="7" s="1"/>
  <c r="DK190" i="7"/>
  <c r="DL185" i="7"/>
  <c r="DM185" i="7" s="1"/>
  <c r="DN185" i="7"/>
  <c r="DK142" i="7"/>
  <c r="DF142" i="7"/>
  <c r="AP46" i="7" s="1"/>
  <c r="DF205" i="7"/>
  <c r="BI59" i="7" s="1"/>
  <c r="DK205" i="7"/>
  <c r="DF148" i="7"/>
  <c r="AP52" i="7" s="1"/>
  <c r="DK148" i="7"/>
  <c r="DK193" i="7"/>
  <c r="DF193" i="7"/>
  <c r="BI47" i="7" s="1"/>
  <c r="DF65" i="7"/>
  <c r="W19" i="7" s="1"/>
  <c r="DK65" i="7"/>
  <c r="DN91" i="7"/>
  <c r="DL91" i="7"/>
  <c r="DM91" i="7" s="1"/>
  <c r="DF176" i="7"/>
  <c r="BI30" i="7" s="1"/>
  <c r="DK176" i="7"/>
  <c r="DK76" i="7"/>
  <c r="DF76" i="7"/>
  <c r="W30" i="7" s="1"/>
  <c r="DL63" i="7"/>
  <c r="DM63" i="7" s="1"/>
  <c r="DN63" i="7"/>
  <c r="DF195" i="7"/>
  <c r="BI49" i="7" s="1"/>
  <c r="DK195" i="7"/>
  <c r="DN189" i="7"/>
  <c r="DL189" i="7"/>
  <c r="DM189" i="7" s="1"/>
  <c r="DL89" i="7"/>
  <c r="DM89" i="7" s="1"/>
  <c r="DN89" i="7"/>
  <c r="DF105" i="7"/>
  <c r="W59" i="7" s="1"/>
  <c r="DK105" i="7"/>
  <c r="DJ130" i="7"/>
  <c r="DC130" i="7"/>
  <c r="DD130" i="7" s="1"/>
  <c r="DE130" i="7" s="1"/>
  <c r="DL175" i="7"/>
  <c r="DM175" i="7" s="1"/>
  <c r="DN175" i="7"/>
  <c r="DJ139" i="7"/>
  <c r="DC139" i="7"/>
  <c r="DD139" i="7" s="1"/>
  <c r="DE139" i="7" s="1"/>
  <c r="DF83" i="7"/>
  <c r="W37" i="7" s="1"/>
  <c r="DK83" i="7"/>
  <c r="DL138" i="7"/>
  <c r="DM138" i="7" s="1"/>
  <c r="DN138" i="7"/>
  <c r="DL99" i="7"/>
  <c r="DM99" i="7" s="1"/>
  <c r="DN99" i="7"/>
  <c r="DF100" i="7"/>
  <c r="W54" i="7" s="1"/>
  <c r="DK100" i="7"/>
  <c r="DF157" i="7"/>
  <c r="BI11" i="7" s="1"/>
  <c r="DK157" i="7"/>
  <c r="DK204" i="7"/>
  <c r="DF204" i="7"/>
  <c r="BI58" i="7" s="1"/>
  <c r="DO62" i="7"/>
  <c r="DP62" i="7" s="1"/>
  <c r="DQ62" i="7" s="1"/>
  <c r="DO198" i="7"/>
  <c r="DP198" i="7" s="1"/>
  <c r="DQ198" i="7" s="1"/>
  <c r="DO169" i="7"/>
  <c r="DP169" i="7" s="1"/>
  <c r="DQ169" i="7" s="1"/>
  <c r="DF77" i="7"/>
  <c r="W31" i="7" s="1"/>
  <c r="DK77" i="7"/>
  <c r="DK71" i="7"/>
  <c r="DF71" i="7"/>
  <c r="W25" i="7" s="1"/>
  <c r="DL180" i="7"/>
  <c r="DM180" i="7" s="1"/>
  <c r="DN180" i="7"/>
  <c r="DF150" i="7"/>
  <c r="AP54" i="7" s="1"/>
  <c r="DK150" i="7"/>
  <c r="DN81" i="7"/>
  <c r="DL81" i="7"/>
  <c r="DM81" i="7" s="1"/>
  <c r="DF140" i="7"/>
  <c r="AP44" i="7" s="1"/>
  <c r="DK140" i="7"/>
  <c r="DF156" i="7"/>
  <c r="AP60" i="7" s="1"/>
  <c r="DK156" i="7"/>
  <c r="DT168" i="7"/>
  <c r="DR168" i="7"/>
  <c r="DS168" i="7" s="1"/>
  <c r="DV168" i="7" s="1"/>
  <c r="DN179" i="7"/>
  <c r="DL179" i="7"/>
  <c r="DM179" i="7" s="1"/>
  <c r="DF60" i="7"/>
  <c r="W14" i="7" s="1"/>
  <c r="DK60" i="7"/>
  <c r="DK57" i="7"/>
  <c r="DF57" i="7"/>
  <c r="W11" i="7" s="1"/>
  <c r="DN173" i="7"/>
  <c r="DL173" i="7"/>
  <c r="DM173" i="7" s="1"/>
  <c r="DK120" i="7"/>
  <c r="DF120" i="7"/>
  <c r="AP24" i="7" s="1"/>
  <c r="DL61" i="7"/>
  <c r="DM61" i="7" s="1"/>
  <c r="DN61" i="7"/>
  <c r="DL58" i="7"/>
  <c r="DM58" i="7" s="1"/>
  <c r="DN58" i="7"/>
  <c r="DN171" i="7"/>
  <c r="DL171" i="7"/>
  <c r="DM171" i="7" s="1"/>
  <c r="DL123" i="7"/>
  <c r="DM123" i="7" s="1"/>
  <c r="DN123" i="7"/>
  <c r="DC80" i="7"/>
  <c r="DD80" i="7" s="1"/>
  <c r="DE80" i="7" s="1"/>
  <c r="DJ80" i="7"/>
  <c r="DN167" i="7"/>
  <c r="DL167" i="7"/>
  <c r="DM167" i="7" s="1"/>
  <c r="DN196" i="7"/>
  <c r="DL196" i="7"/>
  <c r="DM196" i="7" s="1"/>
  <c r="DL125" i="7"/>
  <c r="DM125" i="7" s="1"/>
  <c r="DN125" i="7"/>
  <c r="DO199" i="7"/>
  <c r="DP199" i="7" s="1"/>
  <c r="DQ199" i="7" s="1"/>
  <c r="DO70" i="7"/>
  <c r="DP70" i="7" s="1"/>
  <c r="DQ70" i="7" s="1"/>
  <c r="DF126" i="7"/>
  <c r="AP30" i="7" s="1"/>
  <c r="DK126" i="7"/>
  <c r="DF85" i="7"/>
  <c r="W39" i="7" s="1"/>
  <c r="DK85" i="7"/>
  <c r="DN182" i="7"/>
  <c r="DL182" i="7"/>
  <c r="DM182" i="7" s="1"/>
  <c r="DN117" i="7"/>
  <c r="DL117" i="7"/>
  <c r="DM117" i="7" s="1"/>
  <c r="DN88" i="7"/>
  <c r="DL88" i="7"/>
  <c r="DM88" i="7" s="1"/>
  <c r="DJ183" i="7"/>
  <c r="DC183" i="7"/>
  <c r="DD183" i="7" s="1"/>
  <c r="DE183" i="7" s="1"/>
  <c r="DJ124" i="7"/>
  <c r="DC124" i="7"/>
  <c r="DD124" i="7" s="1"/>
  <c r="DE124" i="7" s="1"/>
  <c r="DC72" i="7"/>
  <c r="DD72" i="7" s="1"/>
  <c r="DE72" i="7" s="1"/>
  <c r="DJ72" i="7"/>
  <c r="DJ84" i="7"/>
  <c r="DC84" i="7"/>
  <c r="DD84" i="7" s="1"/>
  <c r="DE84" i="7" s="1"/>
  <c r="DL93" i="7"/>
  <c r="DM93" i="7" s="1"/>
  <c r="DN93" i="7"/>
  <c r="DC135" i="7"/>
  <c r="DD135" i="7" s="1"/>
  <c r="DE135" i="7" s="1"/>
  <c r="DJ135" i="7"/>
  <c r="DK194" i="7"/>
  <c r="DF194" i="7"/>
  <c r="BI48" i="7" s="1"/>
  <c r="DN178" i="7"/>
  <c r="DL178" i="7"/>
  <c r="DM178" i="7" s="1"/>
  <c r="DK116" i="7"/>
  <c r="DF116" i="7"/>
  <c r="AP20" i="7" s="1"/>
  <c r="DL110" i="7"/>
  <c r="DM110" i="7" s="1"/>
  <c r="DN110" i="7"/>
  <c r="DK143" i="7"/>
  <c r="DF143" i="7"/>
  <c r="AP47" i="7" s="1"/>
  <c r="DF90" i="7"/>
  <c r="W44" i="7" s="1"/>
  <c r="DK90" i="7"/>
  <c r="DL154" i="7"/>
  <c r="DM154" i="7" s="1"/>
  <c r="DN154" i="7"/>
  <c r="DL111" i="7"/>
  <c r="DM111" i="7" s="1"/>
  <c r="DN111" i="7"/>
  <c r="DO112" i="7"/>
  <c r="DP112" i="7" s="1"/>
  <c r="DQ112" i="7" s="1"/>
  <c r="DL197" i="7"/>
  <c r="DM197" i="7" s="1"/>
  <c r="DN197" i="7"/>
  <c r="DN129" i="7"/>
  <c r="DL129" i="7"/>
  <c r="DM129" i="7" s="1"/>
  <c r="DN201" i="7"/>
  <c r="DL201" i="7"/>
  <c r="DM201" i="7" s="1"/>
  <c r="DK101" i="7"/>
  <c r="DF101" i="7"/>
  <c r="W55" i="7" s="1"/>
  <c r="DN73" i="7"/>
  <c r="DL73" i="7"/>
  <c r="DM73" i="7" s="1"/>
  <c r="DN131" i="7"/>
  <c r="DL131" i="7"/>
  <c r="DM131" i="7" s="1"/>
  <c r="DF121" i="7"/>
  <c r="AP25" i="7" s="1"/>
  <c r="DK121" i="7"/>
  <c r="DK151" i="7"/>
  <c r="DF151" i="7"/>
  <c r="AP55" i="7" s="1"/>
  <c r="DF66" i="7"/>
  <c r="W20" i="7" s="1"/>
  <c r="DK66" i="7"/>
  <c r="DK136" i="7"/>
  <c r="DF136" i="7"/>
  <c r="AP40" i="7" s="1"/>
  <c r="DN206" i="7"/>
  <c r="DL206" i="7"/>
  <c r="DM206" i="7" s="1"/>
  <c r="DK78" i="7"/>
  <c r="DF78" i="7"/>
  <c r="W32" i="7" s="1"/>
  <c r="DK163" i="7"/>
  <c r="DF163" i="7"/>
  <c r="BI17" i="7" s="1"/>
  <c r="DC134" i="7"/>
  <c r="DD134" i="7" s="1"/>
  <c r="DE134" i="7" s="1"/>
  <c r="DJ134" i="7"/>
  <c r="DJ141" i="7"/>
  <c r="DC141" i="7"/>
  <c r="DD141" i="7" s="1"/>
  <c r="DE141" i="7" s="1"/>
  <c r="DK104" i="7"/>
  <c r="DF104" i="7"/>
  <c r="W58" i="7" s="1"/>
  <c r="DN94" i="7"/>
  <c r="DL94" i="7"/>
  <c r="DM94" i="7" s="1"/>
  <c r="DO96" i="7"/>
  <c r="DP96" i="7" s="1"/>
  <c r="DQ96" i="7" s="1"/>
  <c r="DO162" i="7"/>
  <c r="DP162" i="7" s="1"/>
  <c r="DQ162" i="7" s="1"/>
  <c r="AQ26" i="3" l="1"/>
  <c r="AQ27" i="3" s="1"/>
  <c r="AQ29" i="3" s="1"/>
  <c r="AQ30" i="3" s="1"/>
  <c r="BN78" i="3"/>
  <c r="BN81" i="3" s="1"/>
  <c r="W101" i="3" s="1"/>
  <c r="BN80" i="3"/>
  <c r="BN82" i="3" s="1"/>
  <c r="Z101" i="3" s="1"/>
  <c r="BN79" i="3"/>
  <c r="BC80" i="3"/>
  <c r="Y86" i="3" s="1"/>
  <c r="BL79" i="3"/>
  <c r="BK78" i="3"/>
  <c r="BK81" i="3" s="1"/>
  <c r="BK83" i="3" s="1"/>
  <c r="X103" i="3" s="1"/>
  <c r="BK79" i="3"/>
  <c r="BL80" i="3"/>
  <c r="Y100" i="3" s="1"/>
  <c r="BC78" i="3"/>
  <c r="BC81" i="3" s="1"/>
  <c r="BC83" i="3" s="1"/>
  <c r="AZ52" i="3"/>
  <c r="AZ53" i="3" s="1"/>
  <c r="AZ54" i="3" s="1"/>
  <c r="AE58" i="7"/>
  <c r="AK58" i="7"/>
  <c r="AB58" i="7"/>
  <c r="Z58" i="7"/>
  <c r="Y58" i="7"/>
  <c r="AF58" i="7"/>
  <c r="AK31" i="7"/>
  <c r="AB31" i="7"/>
  <c r="Z31" i="7"/>
  <c r="AE31" i="7"/>
  <c r="Y31" i="7"/>
  <c r="AF31" i="7"/>
  <c r="Z30" i="7"/>
  <c r="AB30" i="7"/>
  <c r="AK30" i="7"/>
  <c r="Y30" i="7"/>
  <c r="AE30" i="7"/>
  <c r="AF30" i="7"/>
  <c r="AU18" i="7"/>
  <c r="AX18" i="7"/>
  <c r="AR18" i="7"/>
  <c r="AS18" i="7"/>
  <c r="BD18" i="7"/>
  <c r="AY18" i="7"/>
  <c r="Z52" i="7"/>
  <c r="AB52" i="7"/>
  <c r="AK52" i="7"/>
  <c r="Y52" i="7"/>
  <c r="AE52" i="7"/>
  <c r="AF52" i="7"/>
  <c r="AX46" i="7"/>
  <c r="AS46" i="7"/>
  <c r="BD46" i="7"/>
  <c r="AR46" i="7"/>
  <c r="AU46" i="7"/>
  <c r="AY46" i="7"/>
  <c r="AK43" i="7"/>
  <c r="AB43" i="7"/>
  <c r="Y43" i="7"/>
  <c r="Z43" i="7"/>
  <c r="AE43" i="7"/>
  <c r="AF43" i="7"/>
  <c r="BL46" i="7"/>
  <c r="BW46" i="7"/>
  <c r="BN46" i="7"/>
  <c r="BK46" i="7"/>
  <c r="BQ46" i="7"/>
  <c r="BR46" i="7"/>
  <c r="BL20" i="7"/>
  <c r="BQ20" i="7"/>
  <c r="BK20" i="7"/>
  <c r="BN20" i="7"/>
  <c r="BW20" i="7"/>
  <c r="BR20" i="7"/>
  <c r="AS25" i="7"/>
  <c r="AR25" i="7"/>
  <c r="AT25" i="7" s="1"/>
  <c r="BD25" i="7"/>
  <c r="AX25" i="7"/>
  <c r="AU25" i="7"/>
  <c r="AY25" i="7"/>
  <c r="Y39" i="7"/>
  <c r="AE39" i="7"/>
  <c r="Z39" i="7"/>
  <c r="AB39" i="7"/>
  <c r="AK39" i="7"/>
  <c r="AF39" i="7"/>
  <c r="BW30" i="7"/>
  <c r="BQ30" i="7"/>
  <c r="BN30" i="7"/>
  <c r="BL30" i="7"/>
  <c r="BK30" i="7"/>
  <c r="BR30" i="7"/>
  <c r="BK44" i="7"/>
  <c r="BQ44" i="7"/>
  <c r="BN44" i="7"/>
  <c r="BL44" i="7"/>
  <c r="BW44" i="7"/>
  <c r="BR44" i="7"/>
  <c r="BD17" i="7"/>
  <c r="AX17" i="7"/>
  <c r="AS17" i="7"/>
  <c r="AR17" i="7"/>
  <c r="AU17" i="7"/>
  <c r="AY17" i="7"/>
  <c r="AR48" i="7"/>
  <c r="AX48" i="7"/>
  <c r="BD48" i="7"/>
  <c r="AS48" i="7"/>
  <c r="AU48" i="7"/>
  <c r="AY48" i="7"/>
  <c r="Y18" i="7"/>
  <c r="Z18" i="7"/>
  <c r="AE18" i="7"/>
  <c r="AB18" i="7"/>
  <c r="AK18" i="7"/>
  <c r="AF18" i="7"/>
  <c r="BL17" i="7"/>
  <c r="BW17" i="7"/>
  <c r="BQ17" i="7"/>
  <c r="BK17" i="7"/>
  <c r="BN17" i="7"/>
  <c r="BR17" i="7"/>
  <c r="AU53" i="7"/>
  <c r="AS53" i="7"/>
  <c r="AR53" i="7"/>
  <c r="BD53" i="7"/>
  <c r="AX53" i="7"/>
  <c r="AY53" i="7"/>
  <c r="AU30" i="7"/>
  <c r="BD30" i="7"/>
  <c r="AX30" i="7"/>
  <c r="AS30" i="7"/>
  <c r="AR30" i="7"/>
  <c r="AT30" i="7" s="1"/>
  <c r="AY30" i="7"/>
  <c r="AS56" i="7"/>
  <c r="AU56" i="7"/>
  <c r="AX56" i="7"/>
  <c r="AR56" i="7"/>
  <c r="BD56" i="7"/>
  <c r="AY56" i="7"/>
  <c r="Y32" i="7"/>
  <c r="AB32" i="7"/>
  <c r="AE32" i="7"/>
  <c r="Z32" i="7"/>
  <c r="AK32" i="7"/>
  <c r="AF32" i="7"/>
  <c r="Z55" i="7"/>
  <c r="AB55" i="7"/>
  <c r="AK55" i="7"/>
  <c r="AE55" i="7"/>
  <c r="Y55" i="7"/>
  <c r="AF55" i="7"/>
  <c r="AU44" i="7"/>
  <c r="AS44" i="7"/>
  <c r="AX44" i="7"/>
  <c r="AR44" i="7"/>
  <c r="BD44" i="7"/>
  <c r="AY44" i="7"/>
  <c r="AS51" i="7"/>
  <c r="AU51" i="7"/>
  <c r="AR51" i="7"/>
  <c r="AX51" i="7"/>
  <c r="BD51" i="7"/>
  <c r="AY51" i="7"/>
  <c r="BN13" i="7"/>
  <c r="BL13" i="7"/>
  <c r="BQ13" i="7"/>
  <c r="BK13" i="7"/>
  <c r="BM13" i="7" s="1"/>
  <c r="BW13" i="7"/>
  <c r="BR13" i="7"/>
  <c r="AE14" i="7"/>
  <c r="AK14" i="7"/>
  <c r="Z14" i="7"/>
  <c r="AB14" i="7"/>
  <c r="Y14" i="7"/>
  <c r="AF14" i="7"/>
  <c r="AE37" i="7"/>
  <c r="AB37" i="7"/>
  <c r="Z37" i="7"/>
  <c r="Y37" i="7"/>
  <c r="AK37" i="7"/>
  <c r="AF37" i="7"/>
  <c r="BW58" i="7"/>
  <c r="BQ58" i="7"/>
  <c r="BN58" i="7"/>
  <c r="BK58" i="7"/>
  <c r="BL58" i="7"/>
  <c r="BR58" i="7"/>
  <c r="BD24" i="7"/>
  <c r="AX24" i="7"/>
  <c r="AS24" i="7"/>
  <c r="AU24" i="7"/>
  <c r="AR24" i="7"/>
  <c r="AT24" i="7" s="1"/>
  <c r="AY24" i="7"/>
  <c r="BN11" i="7"/>
  <c r="BW11" i="7"/>
  <c r="BK11" i="7"/>
  <c r="BL11" i="7"/>
  <c r="BQ11" i="7"/>
  <c r="BR11" i="7"/>
  <c r="Z59" i="7"/>
  <c r="AE59" i="7"/>
  <c r="Y59" i="7"/>
  <c r="AK59" i="7"/>
  <c r="AB59" i="7"/>
  <c r="AF59" i="7"/>
  <c r="AK19" i="7"/>
  <c r="Z19" i="7"/>
  <c r="AB19" i="7"/>
  <c r="AE19" i="7"/>
  <c r="Y19" i="7"/>
  <c r="AF19" i="7"/>
  <c r="Y36" i="7"/>
  <c r="AE36" i="7"/>
  <c r="AK36" i="7"/>
  <c r="AB36" i="7"/>
  <c r="Z36" i="7"/>
  <c r="AF36" i="7"/>
  <c r="AS33" i="7"/>
  <c r="AR33" i="7"/>
  <c r="AT33" i="7" s="1"/>
  <c r="AX33" i="7"/>
  <c r="BD33" i="7"/>
  <c r="AU33" i="7"/>
  <c r="AY33" i="7"/>
  <c r="AR11" i="7"/>
  <c r="AU11" i="7"/>
  <c r="AX11" i="7"/>
  <c r="BD11" i="7"/>
  <c r="AS11" i="7"/>
  <c r="AY11" i="7"/>
  <c r="AS47" i="7"/>
  <c r="BD47" i="7"/>
  <c r="AU47" i="7"/>
  <c r="AX47" i="7"/>
  <c r="AR47" i="7"/>
  <c r="AY47" i="7"/>
  <c r="BQ47" i="7"/>
  <c r="BK47" i="7"/>
  <c r="BL47" i="7"/>
  <c r="BN47" i="7"/>
  <c r="BW47" i="7"/>
  <c r="BR47" i="7"/>
  <c r="Z21" i="7"/>
  <c r="AB21" i="7"/>
  <c r="AK21" i="7"/>
  <c r="AE21" i="7"/>
  <c r="Y21" i="7"/>
  <c r="AF21" i="7"/>
  <c r="BD20" i="7"/>
  <c r="AS20" i="7"/>
  <c r="AU20" i="7"/>
  <c r="AX20" i="7"/>
  <c r="AR20" i="7"/>
  <c r="AY20" i="7"/>
  <c r="Z54" i="7"/>
  <c r="Y54" i="7"/>
  <c r="AE54" i="7"/>
  <c r="AK54" i="7"/>
  <c r="AB54" i="7"/>
  <c r="AF54" i="7"/>
  <c r="BQ19" i="7"/>
  <c r="BK19" i="7"/>
  <c r="BL19" i="7"/>
  <c r="BW19" i="7"/>
  <c r="BN19" i="7"/>
  <c r="BR19" i="7"/>
  <c r="AX50" i="7"/>
  <c r="AS50" i="7"/>
  <c r="AR50" i="7"/>
  <c r="AU50" i="7"/>
  <c r="BD50" i="7"/>
  <c r="AY50" i="7"/>
  <c r="AX58" i="7"/>
  <c r="AS58" i="7"/>
  <c r="AR58" i="7"/>
  <c r="AU58" i="7"/>
  <c r="BD58" i="7"/>
  <c r="AY58" i="7"/>
  <c r="AE46" i="7"/>
  <c r="Y46" i="7"/>
  <c r="Z46" i="7"/>
  <c r="AK46" i="7"/>
  <c r="AB46" i="7"/>
  <c r="AF46" i="7"/>
  <c r="AX40" i="7"/>
  <c r="AR40" i="7"/>
  <c r="AT40" i="7" s="1"/>
  <c r="AU40" i="7"/>
  <c r="BD40" i="7"/>
  <c r="AS40" i="7"/>
  <c r="AY40" i="7"/>
  <c r="AR54" i="7"/>
  <c r="AU54" i="7"/>
  <c r="BD54" i="7"/>
  <c r="AS54" i="7"/>
  <c r="AX54" i="7"/>
  <c r="AY54" i="7"/>
  <c r="AR12" i="7"/>
  <c r="AS12" i="7"/>
  <c r="AX12" i="7"/>
  <c r="AU12" i="7"/>
  <c r="BD12" i="7"/>
  <c r="AY12" i="7"/>
  <c r="BW50" i="7"/>
  <c r="BL50" i="7"/>
  <c r="BK50" i="7"/>
  <c r="BN50" i="7"/>
  <c r="BQ50" i="7"/>
  <c r="BR50" i="7"/>
  <c r="AB17" i="7"/>
  <c r="AE17" i="7"/>
  <c r="Z17" i="7"/>
  <c r="Y17" i="7"/>
  <c r="AK17" i="7"/>
  <c r="AF17" i="7"/>
  <c r="Z44" i="7"/>
  <c r="AB44" i="7"/>
  <c r="Y44" i="7"/>
  <c r="AE44" i="7"/>
  <c r="AK44" i="7"/>
  <c r="AF44" i="7"/>
  <c r="AX60" i="7"/>
  <c r="AR60" i="7"/>
  <c r="AS60" i="7"/>
  <c r="AU60" i="7"/>
  <c r="BD60" i="7"/>
  <c r="AY60" i="7"/>
  <c r="AB11" i="7"/>
  <c r="AH11" i="7" s="1"/>
  <c r="Z11" i="7"/>
  <c r="AE11" i="7"/>
  <c r="AK11" i="7"/>
  <c r="Y11" i="7"/>
  <c r="AF11" i="7"/>
  <c r="AR52" i="7"/>
  <c r="AS52" i="7"/>
  <c r="AX52" i="7"/>
  <c r="AU52" i="7"/>
  <c r="BD52" i="7"/>
  <c r="AY52" i="7"/>
  <c r="BQ38" i="7"/>
  <c r="BW38" i="7"/>
  <c r="BN38" i="7"/>
  <c r="BL38" i="7"/>
  <c r="BK38" i="7"/>
  <c r="BR38" i="7"/>
  <c r="BQ25" i="7"/>
  <c r="BK25" i="7"/>
  <c r="BM25" i="7" s="1"/>
  <c r="BN25" i="7"/>
  <c r="BW25" i="7"/>
  <c r="BL25" i="7"/>
  <c r="BR25" i="7"/>
  <c r="AR55" i="7"/>
  <c r="AS55" i="7"/>
  <c r="AX55" i="7"/>
  <c r="BD55" i="7"/>
  <c r="AU55" i="7"/>
  <c r="AY55" i="7"/>
  <c r="Y27" i="7"/>
  <c r="AK27" i="7"/>
  <c r="AE27" i="7"/>
  <c r="Z27" i="7"/>
  <c r="AB27" i="7"/>
  <c r="AF27" i="7"/>
  <c r="BD29" i="7"/>
  <c r="AR29" i="7"/>
  <c r="AT29" i="7" s="1"/>
  <c r="AX29" i="7"/>
  <c r="AS29" i="7"/>
  <c r="AU29" i="7"/>
  <c r="AY29" i="7"/>
  <c r="BW60" i="7"/>
  <c r="BN60" i="7"/>
  <c r="BK60" i="7"/>
  <c r="BL60" i="7"/>
  <c r="BQ60" i="7"/>
  <c r="BR60" i="7"/>
  <c r="AE20" i="7"/>
  <c r="AB20" i="7"/>
  <c r="Y20" i="7"/>
  <c r="AK20" i="7"/>
  <c r="Z20" i="7"/>
  <c r="AF20" i="7"/>
  <c r="BL48" i="7"/>
  <c r="BW48" i="7"/>
  <c r="BN48" i="7"/>
  <c r="BK48" i="7"/>
  <c r="BQ48" i="7"/>
  <c r="BR48" i="7"/>
  <c r="Y25" i="7"/>
  <c r="AB25" i="7"/>
  <c r="AK25" i="7"/>
  <c r="AE25" i="7"/>
  <c r="Z25" i="7"/>
  <c r="AF25" i="7"/>
  <c r="BQ49" i="7"/>
  <c r="BN49" i="7"/>
  <c r="BK49" i="7"/>
  <c r="BW49" i="7"/>
  <c r="BL49" i="7"/>
  <c r="BR49" i="7"/>
  <c r="BQ59" i="7"/>
  <c r="BL59" i="7"/>
  <c r="BK59" i="7"/>
  <c r="BN59" i="7"/>
  <c r="BW59" i="7"/>
  <c r="BR59" i="7"/>
  <c r="AK13" i="7"/>
  <c r="Z13" i="7"/>
  <c r="AE13" i="7"/>
  <c r="AB13" i="7"/>
  <c r="Y13" i="7"/>
  <c r="AF13" i="7"/>
  <c r="BQ39" i="7"/>
  <c r="BN39" i="7"/>
  <c r="BK39" i="7"/>
  <c r="BL39" i="7"/>
  <c r="BW39" i="7"/>
  <c r="BR39" i="7"/>
  <c r="BK34" i="7"/>
  <c r="BM34" i="7" s="1"/>
  <c r="BN34" i="7"/>
  <c r="BW34" i="7"/>
  <c r="BQ34" i="7"/>
  <c r="BL34" i="7"/>
  <c r="BR34" i="7"/>
  <c r="BC57" i="3"/>
  <c r="Y73" i="3" s="1"/>
  <c r="BC55" i="3"/>
  <c r="BC58" i="3" s="1"/>
  <c r="W73" i="3" s="1"/>
  <c r="BA50" i="3"/>
  <c r="BA51" i="3" s="1"/>
  <c r="BA53" i="3" s="1"/>
  <c r="BA54" i="3" s="1"/>
  <c r="BA56" i="3" s="1"/>
  <c r="AZ26" i="3"/>
  <c r="AZ27" i="3" s="1"/>
  <c r="AZ29" i="3" s="1"/>
  <c r="AZ30" i="3" s="1"/>
  <c r="BC31" i="3"/>
  <c r="BC34" i="3" s="1"/>
  <c r="W60" i="3" s="1"/>
  <c r="BC32" i="3"/>
  <c r="BO57" i="7"/>
  <c r="BT57" i="7"/>
  <c r="BU57" i="7"/>
  <c r="AH60" i="7"/>
  <c r="AI60" i="7"/>
  <c r="AC60" i="7"/>
  <c r="BO18" i="7"/>
  <c r="BT18" i="7"/>
  <c r="BU18" i="7"/>
  <c r="BM27" i="7"/>
  <c r="BM55" i="7"/>
  <c r="BP55" i="7" s="1"/>
  <c r="P55" i="7" s="1"/>
  <c r="BM33" i="7"/>
  <c r="BO51" i="7"/>
  <c r="BT51" i="7"/>
  <c r="BU51" i="7"/>
  <c r="BA31" i="7"/>
  <c r="AV31" i="7"/>
  <c r="AW31" i="7" s="1"/>
  <c r="BB31" i="7"/>
  <c r="AV13" i="7"/>
  <c r="BA13" i="7"/>
  <c r="BB13" i="7"/>
  <c r="AI57" i="7"/>
  <c r="AC57" i="7"/>
  <c r="AH57" i="7"/>
  <c r="BM52" i="7"/>
  <c r="BT32" i="7"/>
  <c r="BO32" i="7"/>
  <c r="BU32" i="7"/>
  <c r="AV42" i="7"/>
  <c r="BB42" i="7"/>
  <c r="BA42" i="7"/>
  <c r="AV32" i="7"/>
  <c r="AW32" i="7" s="1"/>
  <c r="BB32" i="7"/>
  <c r="BA32" i="7"/>
  <c r="BU42" i="7"/>
  <c r="BT42" i="7"/>
  <c r="BO42" i="7"/>
  <c r="AT59" i="7"/>
  <c r="AW59" i="7"/>
  <c r="AV21" i="7"/>
  <c r="AW21" i="7" s="1"/>
  <c r="BB21" i="7"/>
  <c r="BA21" i="7"/>
  <c r="BU23" i="7"/>
  <c r="BT23" i="7"/>
  <c r="BO23" i="7"/>
  <c r="BP23" i="7" s="1"/>
  <c r="AT23" i="7"/>
  <c r="BT22" i="7"/>
  <c r="BU22" i="7"/>
  <c r="BO22" i="7"/>
  <c r="BT24" i="7"/>
  <c r="BU24" i="7"/>
  <c r="BO24" i="7"/>
  <c r="BP24" i="7" s="1"/>
  <c r="BM51" i="7"/>
  <c r="BB22" i="7"/>
  <c r="BA22" i="7"/>
  <c r="AV22" i="7"/>
  <c r="AW22" i="7" s="1"/>
  <c r="AI24" i="7"/>
  <c r="AH24" i="7"/>
  <c r="AC24" i="7"/>
  <c r="BA36" i="7"/>
  <c r="AV36" i="7"/>
  <c r="AW36" i="7" s="1"/>
  <c r="BB36" i="7"/>
  <c r="BT31" i="7"/>
  <c r="BO31" i="7"/>
  <c r="BP31" i="7" s="1"/>
  <c r="BU31" i="7"/>
  <c r="BM54" i="7"/>
  <c r="BU45" i="7"/>
  <c r="BO45" i="7"/>
  <c r="BP45" i="7" s="1"/>
  <c r="BT45" i="7"/>
  <c r="BU52" i="7"/>
  <c r="BO52" i="7"/>
  <c r="BT52" i="7"/>
  <c r="BT41" i="7"/>
  <c r="BO41" i="7"/>
  <c r="BU41" i="7"/>
  <c r="AI35" i="7"/>
  <c r="AH35" i="7"/>
  <c r="AC35" i="7"/>
  <c r="BM42" i="7"/>
  <c r="AH41" i="7"/>
  <c r="AC41" i="7"/>
  <c r="AI41" i="7"/>
  <c r="AH12" i="7"/>
  <c r="AI12" i="7"/>
  <c r="AC12" i="7"/>
  <c r="BU29" i="7"/>
  <c r="BO29" i="7"/>
  <c r="BP29" i="7" s="1"/>
  <c r="BT29" i="7"/>
  <c r="AV23" i="7"/>
  <c r="BB23" i="7"/>
  <c r="BA23" i="7"/>
  <c r="AV57" i="7"/>
  <c r="AW57" i="7" s="1"/>
  <c r="BB57" i="7"/>
  <c r="BA57" i="7"/>
  <c r="AC48" i="7"/>
  <c r="AI48" i="7"/>
  <c r="AH48" i="7"/>
  <c r="AI40" i="7"/>
  <c r="AC40" i="7"/>
  <c r="AH40" i="7"/>
  <c r="AT35" i="7"/>
  <c r="BO33" i="7"/>
  <c r="BU33" i="7"/>
  <c r="BT33" i="7"/>
  <c r="AT13" i="7"/>
  <c r="AI15" i="7"/>
  <c r="AH15" i="7"/>
  <c r="AC15" i="7"/>
  <c r="BO54" i="7"/>
  <c r="BT54" i="7"/>
  <c r="BU54" i="7"/>
  <c r="AC16" i="7"/>
  <c r="AH16" i="7"/>
  <c r="AI16" i="7"/>
  <c r="AV59" i="7"/>
  <c r="BA59" i="7"/>
  <c r="BB59" i="7"/>
  <c r="AV14" i="7"/>
  <c r="AW14" i="7" s="1"/>
  <c r="BB14" i="7"/>
  <c r="BA14" i="7"/>
  <c r="AV27" i="7"/>
  <c r="AW27" i="7" s="1"/>
  <c r="BA27" i="7"/>
  <c r="BB27" i="7"/>
  <c r="BT43" i="7"/>
  <c r="BO43" i="7"/>
  <c r="BP43" i="7" s="1"/>
  <c r="BU43" i="7"/>
  <c r="BP57" i="7"/>
  <c r="AH49" i="7"/>
  <c r="AC49" i="7"/>
  <c r="AI49" i="7"/>
  <c r="AC47" i="7"/>
  <c r="AH47" i="7"/>
  <c r="AI47" i="7"/>
  <c r="BA35" i="7"/>
  <c r="AV35" i="7"/>
  <c r="BB35" i="7"/>
  <c r="BU27" i="7"/>
  <c r="BT27" i="7"/>
  <c r="BO27" i="7"/>
  <c r="BU55" i="7"/>
  <c r="BO55" i="7"/>
  <c r="BT55" i="7"/>
  <c r="BU15" i="7"/>
  <c r="BO15" i="7"/>
  <c r="BT15" i="7"/>
  <c r="AC50" i="7"/>
  <c r="AH50" i="7"/>
  <c r="AI50" i="7"/>
  <c r="BT36" i="7"/>
  <c r="BU36" i="7"/>
  <c r="BO36" i="7"/>
  <c r="BP36" i="7" s="1"/>
  <c r="BU40" i="7"/>
  <c r="BT40" i="7"/>
  <c r="BO40" i="7"/>
  <c r="BP40" i="7" s="1"/>
  <c r="BM41" i="7"/>
  <c r="BT21" i="7"/>
  <c r="BO21" i="7"/>
  <c r="BU21" i="7"/>
  <c r="AI45" i="7"/>
  <c r="AC45" i="7"/>
  <c r="AH45" i="7"/>
  <c r="BM32" i="7"/>
  <c r="BP32" i="7" s="1"/>
  <c r="AC53" i="7"/>
  <c r="AI53" i="7"/>
  <c r="AH53" i="7"/>
  <c r="AT42" i="7"/>
  <c r="BO12" i="7"/>
  <c r="BT12" i="7"/>
  <c r="BU12" i="7"/>
  <c r="AC56" i="7"/>
  <c r="AI56" i="7"/>
  <c r="AH56" i="7"/>
  <c r="BB15" i="7"/>
  <c r="AV15" i="7"/>
  <c r="BA15" i="7"/>
  <c r="AH42" i="7"/>
  <c r="AI42" i="7"/>
  <c r="AC42" i="7"/>
  <c r="AR175" i="3"/>
  <c r="U644" i="6"/>
  <c r="AR198" i="3"/>
  <c r="U656" i="6"/>
  <c r="AS198" i="3"/>
  <c r="AR152" i="3"/>
  <c r="U632" i="6"/>
  <c r="AS194" i="3"/>
  <c r="AS195" i="3"/>
  <c r="AS197" i="3" s="1"/>
  <c r="AS170" i="3"/>
  <c r="AS173" i="3" s="1"/>
  <c r="AS172" i="3"/>
  <c r="AS174" i="3" s="1"/>
  <c r="AV139" i="3"/>
  <c r="AV140" i="3"/>
  <c r="AW135" i="3"/>
  <c r="AT191" i="3"/>
  <c r="AT192" i="3" s="1"/>
  <c r="AT168" i="3"/>
  <c r="AT169" i="3" s="1"/>
  <c r="AU167" i="3"/>
  <c r="AU165" i="3"/>
  <c r="AU166" i="3" s="1"/>
  <c r="AS149" i="3"/>
  <c r="AS151" i="3" s="1"/>
  <c r="AS148" i="3"/>
  <c r="AS147" i="3"/>
  <c r="AS150" i="3" s="1"/>
  <c r="AU188" i="3"/>
  <c r="AU189" i="3" s="1"/>
  <c r="AU190" i="3"/>
  <c r="AT145" i="3"/>
  <c r="AT146" i="3" s="1"/>
  <c r="AU144" i="3"/>
  <c r="AU142" i="3"/>
  <c r="AU143" i="3" s="1"/>
  <c r="AV162" i="3"/>
  <c r="AV163" i="3"/>
  <c r="AW158" i="3"/>
  <c r="AV186" i="3"/>
  <c r="AW181" i="3"/>
  <c r="AV185" i="3"/>
  <c r="DN191" i="7"/>
  <c r="DO191" i="7" s="1"/>
  <c r="DP191" i="7" s="1"/>
  <c r="DQ191" i="7" s="1"/>
  <c r="DR191" i="7" s="1"/>
  <c r="DS191" i="7" s="1"/>
  <c r="DV191" i="7" s="1"/>
  <c r="DN118" i="7"/>
  <c r="DO118" i="7" s="1"/>
  <c r="DP118" i="7" s="1"/>
  <c r="DQ118" i="7" s="1"/>
  <c r="DR118" i="7" s="1"/>
  <c r="DS118" i="7" s="1"/>
  <c r="DV118" i="7" s="1"/>
  <c r="DK92" i="7"/>
  <c r="DL92" i="7" s="1"/>
  <c r="DM92" i="7" s="1"/>
  <c r="DL119" i="7"/>
  <c r="DM119" i="7" s="1"/>
  <c r="DO119" i="7" s="1"/>
  <c r="DP119" i="7" s="1"/>
  <c r="DQ119" i="7" s="1"/>
  <c r="DL153" i="7"/>
  <c r="DM153" i="7" s="1"/>
  <c r="DO153" i="7" s="1"/>
  <c r="DP153" i="7" s="1"/>
  <c r="DQ153" i="7" s="1"/>
  <c r="DR153" i="7" s="1"/>
  <c r="DS153" i="7" s="1"/>
  <c r="DV153" i="7" s="1"/>
  <c r="DN161" i="7"/>
  <c r="DO161" i="7" s="1"/>
  <c r="DP161" i="7" s="1"/>
  <c r="DQ161" i="7" s="1"/>
  <c r="AU29" i="3"/>
  <c r="AU30" i="3" s="1"/>
  <c r="AZ80" i="3"/>
  <c r="AZ79" i="3"/>
  <c r="AZ78" i="3"/>
  <c r="AZ81" i="3" s="1"/>
  <c r="BL56" i="3"/>
  <c r="BL57" i="3"/>
  <c r="BL55" i="3"/>
  <c r="BL58" i="3" s="1"/>
  <c r="BM83" i="3"/>
  <c r="X104" i="3" s="1"/>
  <c r="W104" i="3"/>
  <c r="BL32" i="3"/>
  <c r="BL33" i="3"/>
  <c r="BL31" i="3"/>
  <c r="BL34" i="3" s="1"/>
  <c r="AI33" i="3"/>
  <c r="AI32" i="3"/>
  <c r="AI31" i="3"/>
  <c r="AI34" i="3" s="1"/>
  <c r="W85" i="3"/>
  <c r="BB83" i="3"/>
  <c r="W89" i="3"/>
  <c r="W99" i="3"/>
  <c r="AO29" i="3"/>
  <c r="AO30" i="3" s="1"/>
  <c r="AT29" i="3"/>
  <c r="AT30" i="3" s="1"/>
  <c r="BA29" i="3"/>
  <c r="BA30" i="3" s="1"/>
  <c r="AK32" i="3"/>
  <c r="AK33" i="3"/>
  <c r="AK31" i="3"/>
  <c r="AK34" i="3" s="1"/>
  <c r="W64" i="3"/>
  <c r="BB60" i="3"/>
  <c r="W68" i="3"/>
  <c r="W78" i="3"/>
  <c r="BA80" i="3"/>
  <c r="BA79" i="3"/>
  <c r="BA78" i="3"/>
  <c r="BA81" i="3" s="1"/>
  <c r="Y104" i="3"/>
  <c r="BM82" i="3"/>
  <c r="Z104" i="3" s="1"/>
  <c r="AJ33" i="3"/>
  <c r="AJ32" i="3"/>
  <c r="AJ31" i="3"/>
  <c r="AJ34" i="3" s="1"/>
  <c r="BK32" i="3"/>
  <c r="BK33" i="3"/>
  <c r="BK31" i="3"/>
  <c r="BK34" i="3" s="1"/>
  <c r="AW26" i="3"/>
  <c r="AW27" i="3" s="1"/>
  <c r="AW28" i="3"/>
  <c r="AV26" i="3"/>
  <c r="AV27" i="3" s="1"/>
  <c r="AV28" i="3"/>
  <c r="AN29" i="3"/>
  <c r="AN30" i="3" s="1"/>
  <c r="BB59" i="3"/>
  <c r="Y64" i="3"/>
  <c r="Y78" i="3"/>
  <c r="Y68" i="3"/>
  <c r="BL83" i="3"/>
  <c r="X100" i="3" s="1"/>
  <c r="W100" i="3"/>
  <c r="BK57" i="3"/>
  <c r="BK56" i="3"/>
  <c r="BK55" i="3"/>
  <c r="BK58" i="3" s="1"/>
  <c r="BB82" i="3"/>
  <c r="Y89" i="3"/>
  <c r="Y85" i="3"/>
  <c r="Y99" i="3"/>
  <c r="BM57" i="3"/>
  <c r="BM56" i="3"/>
  <c r="BM55" i="3"/>
  <c r="BM58" i="3" s="1"/>
  <c r="Y44" i="3"/>
  <c r="Y52" i="3"/>
  <c r="Y60" i="3"/>
  <c r="BC35" i="3"/>
  <c r="Y57" i="3"/>
  <c r="Y47" i="3"/>
  <c r="BB35" i="3"/>
  <c r="Y43" i="3"/>
  <c r="BN32" i="3"/>
  <c r="BN33" i="3"/>
  <c r="BN31" i="3"/>
  <c r="BN34" i="3" s="1"/>
  <c r="Y103" i="3"/>
  <c r="BK82" i="3"/>
  <c r="Z103" i="3" s="1"/>
  <c r="AH32" i="3"/>
  <c r="AH33" i="3"/>
  <c r="AH31" i="3"/>
  <c r="AH34" i="3" s="1"/>
  <c r="W57" i="3"/>
  <c r="W43" i="3"/>
  <c r="W47" i="3"/>
  <c r="BB36" i="3"/>
  <c r="BM33" i="3"/>
  <c r="BM32" i="3"/>
  <c r="BM31" i="3"/>
  <c r="BM34" i="3" s="1"/>
  <c r="AP29" i="3"/>
  <c r="AP30" i="3" s="1"/>
  <c r="BN56" i="3"/>
  <c r="BN57" i="3"/>
  <c r="BN55" i="3"/>
  <c r="BN58" i="3" s="1"/>
  <c r="DL158" i="7"/>
  <c r="DM158" i="7" s="1"/>
  <c r="DO158" i="7" s="1"/>
  <c r="DP158" i="7" s="1"/>
  <c r="DQ158" i="7" s="1"/>
  <c r="DN203" i="7"/>
  <c r="DO203" i="7" s="1"/>
  <c r="DP203" i="7" s="1"/>
  <c r="DQ203" i="7" s="1"/>
  <c r="DN127" i="7"/>
  <c r="DO127" i="7" s="1"/>
  <c r="DP127" i="7" s="1"/>
  <c r="DQ127" i="7" s="1"/>
  <c r="DF172" i="7"/>
  <c r="BI26" i="7" s="1"/>
  <c r="DL170" i="7"/>
  <c r="DM170" i="7" s="1"/>
  <c r="DO170" i="7" s="1"/>
  <c r="DP170" i="7" s="1"/>
  <c r="DQ170" i="7" s="1"/>
  <c r="DL186" i="7"/>
  <c r="DM186" i="7" s="1"/>
  <c r="DO186" i="7" s="1"/>
  <c r="DP186" i="7" s="1"/>
  <c r="DQ186" i="7" s="1"/>
  <c r="DN188" i="7"/>
  <c r="DO188" i="7" s="1"/>
  <c r="DP188" i="7" s="1"/>
  <c r="DQ188" i="7" s="1"/>
  <c r="DL166" i="7"/>
  <c r="DM166" i="7" s="1"/>
  <c r="DN166" i="7"/>
  <c r="DN95" i="7"/>
  <c r="DO95" i="7" s="1"/>
  <c r="DP95" i="7" s="1"/>
  <c r="DQ95" i="7" s="1"/>
  <c r="DF75" i="7"/>
  <c r="W29" i="7" s="1"/>
  <c r="DF137" i="7"/>
  <c r="AP41" i="7" s="1"/>
  <c r="DN106" i="7"/>
  <c r="DO106" i="7" s="1"/>
  <c r="DP106" i="7" s="1"/>
  <c r="DQ106" i="7" s="1"/>
  <c r="DL109" i="7"/>
  <c r="DM109" i="7" s="1"/>
  <c r="DO109" i="7" s="1"/>
  <c r="DP109" i="7" s="1"/>
  <c r="DQ109" i="7" s="1"/>
  <c r="DL64" i="7"/>
  <c r="DM64" i="7" s="1"/>
  <c r="DN64" i="7"/>
  <c r="DN114" i="7"/>
  <c r="DL114" i="7"/>
  <c r="DM114" i="7" s="1"/>
  <c r="DL82" i="7"/>
  <c r="DM82" i="7" s="1"/>
  <c r="DN82" i="7"/>
  <c r="DL177" i="7"/>
  <c r="DM177" i="7" s="1"/>
  <c r="DO177" i="7" s="1"/>
  <c r="DP177" i="7" s="1"/>
  <c r="DQ177" i="7" s="1"/>
  <c r="DL187" i="7"/>
  <c r="DM187" i="7" s="1"/>
  <c r="DN187" i="7"/>
  <c r="DL107" i="7"/>
  <c r="DM107" i="7" s="1"/>
  <c r="DN107" i="7"/>
  <c r="DN192" i="7"/>
  <c r="DL192" i="7"/>
  <c r="DM192" i="7" s="1"/>
  <c r="DN144" i="7"/>
  <c r="DL144" i="7"/>
  <c r="DM144" i="7" s="1"/>
  <c r="DO58" i="7"/>
  <c r="DP58" i="7" s="1"/>
  <c r="DQ58" i="7" s="1"/>
  <c r="DO180" i="7"/>
  <c r="DP180" i="7" s="1"/>
  <c r="DQ180" i="7" s="1"/>
  <c r="DL184" i="7"/>
  <c r="DM184" i="7" s="1"/>
  <c r="DN184" i="7"/>
  <c r="DO125" i="7"/>
  <c r="DP125" i="7" s="1"/>
  <c r="DQ125" i="7" s="1"/>
  <c r="DO99" i="7"/>
  <c r="DP99" i="7" s="1"/>
  <c r="DQ99" i="7" s="1"/>
  <c r="DO189" i="7"/>
  <c r="DP189" i="7" s="1"/>
  <c r="DQ189" i="7" s="1"/>
  <c r="DO91" i="7"/>
  <c r="DP91" i="7" s="1"/>
  <c r="DQ91" i="7" s="1"/>
  <c r="DO94" i="7"/>
  <c r="DP94" i="7" s="1"/>
  <c r="DQ94" i="7" s="1"/>
  <c r="DO206" i="7"/>
  <c r="DP206" i="7" s="1"/>
  <c r="DQ206" i="7" s="1"/>
  <c r="DO131" i="7"/>
  <c r="DP131" i="7" s="1"/>
  <c r="DQ131" i="7" s="1"/>
  <c r="DO154" i="7"/>
  <c r="DP154" i="7" s="1"/>
  <c r="DQ154" i="7" s="1"/>
  <c r="DO110" i="7"/>
  <c r="DP110" i="7" s="1"/>
  <c r="DQ110" i="7" s="1"/>
  <c r="DO171" i="7"/>
  <c r="DP171" i="7" s="1"/>
  <c r="DQ171" i="7" s="1"/>
  <c r="DO102" i="7"/>
  <c r="DP102" i="7" s="1"/>
  <c r="DQ102" i="7" s="1"/>
  <c r="DO178" i="7"/>
  <c r="DP178" i="7" s="1"/>
  <c r="DQ178" i="7" s="1"/>
  <c r="DO117" i="7"/>
  <c r="DP117" i="7" s="1"/>
  <c r="DQ117" i="7" s="1"/>
  <c r="DO89" i="7"/>
  <c r="DP89" i="7" s="1"/>
  <c r="DQ89" i="7" s="1"/>
  <c r="DO185" i="7"/>
  <c r="DP185" i="7" s="1"/>
  <c r="DQ185" i="7" s="1"/>
  <c r="DO123" i="7"/>
  <c r="DP123" i="7" s="1"/>
  <c r="DQ123" i="7" s="1"/>
  <c r="DO61" i="7"/>
  <c r="DP61" i="7" s="1"/>
  <c r="DQ61" i="7" s="1"/>
  <c r="DO196" i="7"/>
  <c r="DP196" i="7" s="1"/>
  <c r="DQ196" i="7" s="1"/>
  <c r="DO86" i="7"/>
  <c r="DP86" i="7" s="1"/>
  <c r="DQ86" i="7" s="1"/>
  <c r="DK202" i="7"/>
  <c r="DF202" i="7"/>
  <c r="BI56" i="7" s="1"/>
  <c r="DN152" i="7"/>
  <c r="DL152" i="7"/>
  <c r="DM152" i="7" s="1"/>
  <c r="DR62" i="7"/>
  <c r="DS62" i="7" s="1"/>
  <c r="DV62" i="7" s="1"/>
  <c r="DT62" i="7"/>
  <c r="DR96" i="7"/>
  <c r="DS96" i="7" s="1"/>
  <c r="DV96" i="7" s="1"/>
  <c r="DT96" i="7"/>
  <c r="DR70" i="7"/>
  <c r="DS70" i="7" s="1"/>
  <c r="DV70" i="7" s="1"/>
  <c r="DT70" i="7"/>
  <c r="DR162" i="7"/>
  <c r="DS162" i="7" s="1"/>
  <c r="DV162" i="7" s="1"/>
  <c r="DT162" i="7"/>
  <c r="DT112" i="7"/>
  <c r="DR112" i="7"/>
  <c r="DS112" i="7" s="1"/>
  <c r="DV112" i="7" s="1"/>
  <c r="DT160" i="7"/>
  <c r="DR160" i="7"/>
  <c r="DS160" i="7" s="1"/>
  <c r="DV160" i="7" s="1"/>
  <c r="DT199" i="7"/>
  <c r="DR199" i="7"/>
  <c r="DS199" i="7" s="1"/>
  <c r="DV199" i="7" s="1"/>
  <c r="DN137" i="7"/>
  <c r="DL137" i="7"/>
  <c r="DM137" i="7" s="1"/>
  <c r="DT68" i="7"/>
  <c r="DR68" i="7"/>
  <c r="DS68" i="7" s="1"/>
  <c r="DV68" i="7" s="1"/>
  <c r="DK84" i="7"/>
  <c r="DF84" i="7"/>
  <c r="W38" i="7" s="1"/>
  <c r="DK183" i="7"/>
  <c r="DF183" i="7"/>
  <c r="BI37" i="7" s="1"/>
  <c r="DT128" i="7"/>
  <c r="DR128" i="7"/>
  <c r="DS128" i="7" s="1"/>
  <c r="DV128" i="7" s="1"/>
  <c r="DL140" i="7"/>
  <c r="DM140" i="7" s="1"/>
  <c r="DN140" i="7"/>
  <c r="DN204" i="7"/>
  <c r="DL204" i="7"/>
  <c r="DM204" i="7" s="1"/>
  <c r="DR198" i="7"/>
  <c r="DS198" i="7" s="1"/>
  <c r="DV198" i="7" s="1"/>
  <c r="DT198" i="7"/>
  <c r="DL65" i="7"/>
  <c r="DM65" i="7" s="1"/>
  <c r="DN65" i="7"/>
  <c r="DL205" i="7"/>
  <c r="DM205" i="7" s="1"/>
  <c r="DN205" i="7"/>
  <c r="DK133" i="7"/>
  <c r="DF133" i="7"/>
  <c r="AP37" i="7" s="1"/>
  <c r="DO200" i="7"/>
  <c r="DP200" i="7" s="1"/>
  <c r="DQ200" i="7" s="1"/>
  <c r="DO103" i="7"/>
  <c r="DP103" i="7" s="1"/>
  <c r="DQ103" i="7" s="1"/>
  <c r="DK134" i="7"/>
  <c r="DF134" i="7"/>
  <c r="AP38" i="7" s="1"/>
  <c r="DN101" i="7"/>
  <c r="DL101" i="7"/>
  <c r="DM101" i="7" s="1"/>
  <c r="DN143" i="7"/>
  <c r="DL143" i="7"/>
  <c r="DM143" i="7" s="1"/>
  <c r="DR98" i="7"/>
  <c r="DS98" i="7" s="1"/>
  <c r="DV98" i="7" s="1"/>
  <c r="DT98" i="7"/>
  <c r="DL120" i="7"/>
  <c r="DM120" i="7" s="1"/>
  <c r="DN120" i="7"/>
  <c r="DF139" i="7"/>
  <c r="AP43" i="7" s="1"/>
  <c r="DK139" i="7"/>
  <c r="DF130" i="7"/>
  <c r="AP34" i="7" s="1"/>
  <c r="DK130" i="7"/>
  <c r="DR169" i="7"/>
  <c r="DS169" i="7" s="1"/>
  <c r="DV169" i="7" s="1"/>
  <c r="DT169" i="7"/>
  <c r="DN149" i="7"/>
  <c r="DL149" i="7"/>
  <c r="DM149" i="7" s="1"/>
  <c r="DK174" i="7"/>
  <c r="DF174" i="7"/>
  <c r="BI28" i="7" s="1"/>
  <c r="DN165" i="7"/>
  <c r="DL165" i="7"/>
  <c r="DM165" i="7" s="1"/>
  <c r="DL59" i="7"/>
  <c r="DM59" i="7" s="1"/>
  <c r="DN59" i="7"/>
  <c r="DN66" i="7"/>
  <c r="DL66" i="7"/>
  <c r="DM66" i="7" s="1"/>
  <c r="DL172" i="7"/>
  <c r="DM172" i="7" s="1"/>
  <c r="DN172" i="7"/>
  <c r="DF124" i="7"/>
  <c r="AP28" i="7" s="1"/>
  <c r="DK124" i="7"/>
  <c r="DL126" i="7"/>
  <c r="DM126" i="7" s="1"/>
  <c r="DN126" i="7"/>
  <c r="DN60" i="7"/>
  <c r="DL60" i="7"/>
  <c r="DM60" i="7" s="1"/>
  <c r="DN156" i="7"/>
  <c r="DL156" i="7"/>
  <c r="DM156" i="7" s="1"/>
  <c r="DN150" i="7"/>
  <c r="DL150" i="7"/>
  <c r="DM150" i="7" s="1"/>
  <c r="DL77" i="7"/>
  <c r="DM77" i="7" s="1"/>
  <c r="DN77" i="7"/>
  <c r="DL148" i="7"/>
  <c r="DM148" i="7" s="1"/>
  <c r="DN148" i="7"/>
  <c r="DT87" i="7"/>
  <c r="DR87" i="7"/>
  <c r="DS87" i="7" s="1"/>
  <c r="DV87" i="7" s="1"/>
  <c r="DK181" i="7"/>
  <c r="DF181" i="7"/>
  <c r="BI35" i="7" s="1"/>
  <c r="DK74" i="7"/>
  <c r="DF74" i="7"/>
  <c r="W28" i="7" s="1"/>
  <c r="DF122" i="7"/>
  <c r="AP26" i="7" s="1"/>
  <c r="DK122" i="7"/>
  <c r="DF145" i="7"/>
  <c r="AP49" i="7" s="1"/>
  <c r="DK145" i="7"/>
  <c r="DN147" i="7"/>
  <c r="DL147" i="7"/>
  <c r="DM147" i="7" s="1"/>
  <c r="DL108" i="7"/>
  <c r="DM108" i="7" s="1"/>
  <c r="DN108" i="7"/>
  <c r="DO197" i="7"/>
  <c r="DP197" i="7" s="1"/>
  <c r="DQ197" i="7" s="1"/>
  <c r="DO111" i="7"/>
  <c r="DP111" i="7" s="1"/>
  <c r="DQ111" i="7" s="1"/>
  <c r="DO93" i="7"/>
  <c r="DP93" i="7" s="1"/>
  <c r="DQ93" i="7" s="1"/>
  <c r="DO63" i="7"/>
  <c r="DP63" i="7" s="1"/>
  <c r="DQ63" i="7" s="1"/>
  <c r="DR159" i="7"/>
  <c r="DS159" i="7" s="1"/>
  <c r="DV159" i="7" s="1"/>
  <c r="DT159" i="7"/>
  <c r="DL78" i="7"/>
  <c r="DM78" i="7" s="1"/>
  <c r="DN78" i="7"/>
  <c r="DN136" i="7"/>
  <c r="DL136" i="7"/>
  <c r="DM136" i="7" s="1"/>
  <c r="DL116" i="7"/>
  <c r="DM116" i="7" s="1"/>
  <c r="DN116" i="7"/>
  <c r="DN194" i="7"/>
  <c r="DL194" i="7"/>
  <c r="DM194" i="7" s="1"/>
  <c r="DF72" i="7"/>
  <c r="W26" i="7" s="1"/>
  <c r="DK72" i="7"/>
  <c r="DL57" i="7"/>
  <c r="DM57" i="7" s="1"/>
  <c r="DN57" i="7"/>
  <c r="DU168" i="7"/>
  <c r="DZ168" i="7"/>
  <c r="DN71" i="7"/>
  <c r="DL71" i="7"/>
  <c r="DM71" i="7" s="1"/>
  <c r="DL100" i="7"/>
  <c r="DM100" i="7" s="1"/>
  <c r="DN100" i="7"/>
  <c r="DL83" i="7"/>
  <c r="DM83" i="7" s="1"/>
  <c r="DN83" i="7"/>
  <c r="DN195" i="7"/>
  <c r="DL195" i="7"/>
  <c r="DM195" i="7" s="1"/>
  <c r="DN193" i="7"/>
  <c r="DL193" i="7"/>
  <c r="DM193" i="7" s="1"/>
  <c r="DN142" i="7"/>
  <c r="DL142" i="7"/>
  <c r="DM142" i="7" s="1"/>
  <c r="DN190" i="7"/>
  <c r="DL190" i="7"/>
  <c r="DM190" i="7" s="1"/>
  <c r="DK115" i="7"/>
  <c r="DF115" i="7"/>
  <c r="AP19" i="7" s="1"/>
  <c r="DN113" i="7"/>
  <c r="DL113" i="7"/>
  <c r="DM113" i="7" s="1"/>
  <c r="DO129" i="7"/>
  <c r="DP129" i="7" s="1"/>
  <c r="DQ129" i="7" s="1"/>
  <c r="DO88" i="7"/>
  <c r="DP88" i="7" s="1"/>
  <c r="DQ88" i="7" s="1"/>
  <c r="DO167" i="7"/>
  <c r="DP167" i="7" s="1"/>
  <c r="DQ167" i="7" s="1"/>
  <c r="DO81" i="7"/>
  <c r="DP81" i="7" s="1"/>
  <c r="DQ81" i="7" s="1"/>
  <c r="DO175" i="7"/>
  <c r="DP175" i="7" s="1"/>
  <c r="DQ175" i="7" s="1"/>
  <c r="DF141" i="7"/>
  <c r="AP45" i="7" s="1"/>
  <c r="DK141" i="7"/>
  <c r="DL121" i="7"/>
  <c r="DM121" i="7" s="1"/>
  <c r="DN121" i="7"/>
  <c r="DN75" i="7"/>
  <c r="DL75" i="7"/>
  <c r="DM75" i="7" s="1"/>
  <c r="DL90" i="7"/>
  <c r="DM90" i="7" s="1"/>
  <c r="DN90" i="7"/>
  <c r="DL85" i="7"/>
  <c r="DM85" i="7" s="1"/>
  <c r="DN85" i="7"/>
  <c r="DW168" i="7"/>
  <c r="EA168" i="7"/>
  <c r="EC168" i="7" s="1"/>
  <c r="DL176" i="7"/>
  <c r="DM176" i="7" s="1"/>
  <c r="DN176" i="7"/>
  <c r="DF97" i="7"/>
  <c r="W51" i="7" s="1"/>
  <c r="DK97" i="7"/>
  <c r="DF79" i="7"/>
  <c r="W33" i="7" s="1"/>
  <c r="DK79" i="7"/>
  <c r="DL67" i="7"/>
  <c r="DM67" i="7" s="1"/>
  <c r="DN67" i="7"/>
  <c r="DL104" i="7"/>
  <c r="DM104" i="7" s="1"/>
  <c r="DN104" i="7"/>
  <c r="DN163" i="7"/>
  <c r="DL163" i="7"/>
  <c r="DM163" i="7" s="1"/>
  <c r="DL151" i="7"/>
  <c r="DM151" i="7" s="1"/>
  <c r="DN151" i="7"/>
  <c r="DR155" i="7"/>
  <c r="DS155" i="7" s="1"/>
  <c r="DV155" i="7" s="1"/>
  <c r="DT155" i="7"/>
  <c r="DK135" i="7"/>
  <c r="DF135" i="7"/>
  <c r="AP39" i="7" s="1"/>
  <c r="DT132" i="7"/>
  <c r="DR132" i="7"/>
  <c r="DS132" i="7" s="1"/>
  <c r="DV132" i="7" s="1"/>
  <c r="DT69" i="7"/>
  <c r="DR69" i="7"/>
  <c r="DS69" i="7" s="1"/>
  <c r="DV69" i="7" s="1"/>
  <c r="DF80" i="7"/>
  <c r="W34" i="7" s="1"/>
  <c r="DK80" i="7"/>
  <c r="DL157" i="7"/>
  <c r="DM157" i="7" s="1"/>
  <c r="DN157" i="7"/>
  <c r="DL105" i="7"/>
  <c r="DM105" i="7" s="1"/>
  <c r="DN105" i="7"/>
  <c r="DL76" i="7"/>
  <c r="DM76" i="7" s="1"/>
  <c r="DN76" i="7"/>
  <c r="DO73" i="7"/>
  <c r="DP73" i="7" s="1"/>
  <c r="DQ73" i="7" s="1"/>
  <c r="DO201" i="7"/>
  <c r="DP201" i="7" s="1"/>
  <c r="DQ201" i="7" s="1"/>
  <c r="DO182" i="7"/>
  <c r="DP182" i="7" s="1"/>
  <c r="DQ182" i="7" s="1"/>
  <c r="DO173" i="7"/>
  <c r="DP173" i="7" s="1"/>
  <c r="DQ173" i="7" s="1"/>
  <c r="DO179" i="7"/>
  <c r="DP179" i="7" s="1"/>
  <c r="DQ179" i="7" s="1"/>
  <c r="DO138" i="7"/>
  <c r="DP138" i="7" s="1"/>
  <c r="DQ138" i="7" s="1"/>
  <c r="DO146" i="7"/>
  <c r="DP146" i="7" s="1"/>
  <c r="DQ146" i="7" s="1"/>
  <c r="DO164" i="7"/>
  <c r="DP164" i="7" s="1"/>
  <c r="DQ164" i="7" s="1"/>
  <c r="BN83" i="3" l="1"/>
  <c r="X101" i="3" s="1"/>
  <c r="Y101" i="3"/>
  <c r="Y102" i="3"/>
  <c r="Y94" i="3"/>
  <c r="BC82" i="3"/>
  <c r="BF64" i="3" s="1"/>
  <c r="BF68" i="3" s="1"/>
  <c r="BL82" i="3"/>
  <c r="Z100" i="3" s="1"/>
  <c r="W103" i="3"/>
  <c r="W44" i="3"/>
  <c r="BC36" i="3"/>
  <c r="BD13" i="3" s="1"/>
  <c r="BD17" i="3" s="1"/>
  <c r="W52" i="3"/>
  <c r="W102" i="3"/>
  <c r="W86" i="3"/>
  <c r="W94" i="3"/>
  <c r="BA57" i="3"/>
  <c r="Y67" i="3" s="1"/>
  <c r="BA55" i="3"/>
  <c r="BA58" i="3" s="1"/>
  <c r="W72" i="3" s="1"/>
  <c r="Y81" i="3"/>
  <c r="Y65" i="3"/>
  <c r="BC59" i="3"/>
  <c r="BF41" i="3" s="1"/>
  <c r="BF45" i="3" s="1"/>
  <c r="W81" i="3"/>
  <c r="W65" i="3"/>
  <c r="BC60" i="3"/>
  <c r="X65" i="3" s="1"/>
  <c r="AZ56" i="3"/>
  <c r="AZ57" i="3"/>
  <c r="Y66" i="3" s="1"/>
  <c r="AZ55" i="3"/>
  <c r="AZ58" i="3" s="1"/>
  <c r="AZ60" i="3" s="1"/>
  <c r="AB34" i="7"/>
  <c r="AE34" i="7"/>
  <c r="Z34" i="7"/>
  <c r="Y34" i="7"/>
  <c r="AK34" i="7"/>
  <c r="AF34" i="7"/>
  <c r="AX28" i="7"/>
  <c r="AU28" i="7"/>
  <c r="AR28" i="7"/>
  <c r="AT28" i="7" s="1"/>
  <c r="AS28" i="7"/>
  <c r="BD28" i="7"/>
  <c r="AY28" i="7"/>
  <c r="BD34" i="7"/>
  <c r="AU34" i="7"/>
  <c r="AX34" i="7"/>
  <c r="AR34" i="7"/>
  <c r="AS34" i="7"/>
  <c r="AY34" i="7"/>
  <c r="AE29" i="7"/>
  <c r="Y29" i="7"/>
  <c r="AK29" i="7"/>
  <c r="AB29" i="7"/>
  <c r="Z29" i="7"/>
  <c r="AF29" i="7"/>
  <c r="BQ56" i="7"/>
  <c r="BK56" i="7"/>
  <c r="BW56" i="7"/>
  <c r="BN56" i="7"/>
  <c r="BL56" i="7"/>
  <c r="BR56" i="7"/>
  <c r="BQ26" i="7"/>
  <c r="BW26" i="7"/>
  <c r="BK26" i="7"/>
  <c r="BM26" i="7" s="1"/>
  <c r="BL26" i="7"/>
  <c r="BN26" i="7"/>
  <c r="BR26" i="7"/>
  <c r="AK26" i="7"/>
  <c r="Z26" i="7"/>
  <c r="AE26" i="7"/>
  <c r="AB26" i="7"/>
  <c r="Y26" i="7"/>
  <c r="AF26" i="7"/>
  <c r="AB33" i="7"/>
  <c r="AK33" i="7"/>
  <c r="Z33" i="7"/>
  <c r="AE33" i="7"/>
  <c r="Y33" i="7"/>
  <c r="AF33" i="7"/>
  <c r="AS45" i="7"/>
  <c r="AR45" i="7"/>
  <c r="AT45" i="7" s="1"/>
  <c r="BD45" i="7"/>
  <c r="AX45" i="7"/>
  <c r="AU45" i="7"/>
  <c r="AY45" i="7"/>
  <c r="BL28" i="7"/>
  <c r="BK28" i="7"/>
  <c r="BM28" i="7" s="1"/>
  <c r="BW28" i="7"/>
  <c r="BN28" i="7"/>
  <c r="BQ28" i="7"/>
  <c r="BR28" i="7"/>
  <c r="AE51" i="7"/>
  <c r="Y51" i="7"/>
  <c r="AK51" i="7"/>
  <c r="Z51" i="7"/>
  <c r="AB51" i="7"/>
  <c r="AF51" i="7"/>
  <c r="AX38" i="7"/>
  <c r="AR38" i="7"/>
  <c r="AT38" i="7" s="1"/>
  <c r="BD38" i="7"/>
  <c r="AU38" i="7"/>
  <c r="AS38" i="7"/>
  <c r="AY38" i="7"/>
  <c r="AS49" i="7"/>
  <c r="BD49" i="7"/>
  <c r="AU49" i="7"/>
  <c r="AR49" i="7"/>
  <c r="AX49" i="7"/>
  <c r="AY49" i="7"/>
  <c r="BD39" i="7"/>
  <c r="AS39" i="7"/>
  <c r="AX39" i="7"/>
  <c r="AR39" i="7"/>
  <c r="AU39" i="7"/>
  <c r="AY39" i="7"/>
  <c r="AU26" i="7"/>
  <c r="AR26" i="7"/>
  <c r="AT26" i="7" s="1"/>
  <c r="AX26" i="7"/>
  <c r="AS26" i="7"/>
  <c r="BD26" i="7"/>
  <c r="AY26" i="7"/>
  <c r="AB28" i="7"/>
  <c r="AK28" i="7"/>
  <c r="AE28" i="7"/>
  <c r="Z28" i="7"/>
  <c r="Y28" i="7"/>
  <c r="AF28" i="7"/>
  <c r="BW37" i="7"/>
  <c r="BQ37" i="7"/>
  <c r="BL37" i="7"/>
  <c r="BK37" i="7"/>
  <c r="BN37" i="7"/>
  <c r="BR37" i="7"/>
  <c r="AS19" i="7"/>
  <c r="AR19" i="7"/>
  <c r="AX19" i="7"/>
  <c r="BD19" i="7"/>
  <c r="AU19" i="7"/>
  <c r="AY19" i="7"/>
  <c r="AR43" i="7"/>
  <c r="AT43" i="7" s="1"/>
  <c r="AU43" i="7"/>
  <c r="AX43" i="7"/>
  <c r="AS43" i="7"/>
  <c r="BD43" i="7"/>
  <c r="AY43" i="7"/>
  <c r="BL35" i="7"/>
  <c r="BQ35" i="7"/>
  <c r="BK35" i="7"/>
  <c r="BW35" i="7"/>
  <c r="BN35" i="7"/>
  <c r="BR35" i="7"/>
  <c r="AX37" i="7"/>
  <c r="BD37" i="7"/>
  <c r="AR37" i="7"/>
  <c r="AT37" i="7" s="1"/>
  <c r="AU37" i="7"/>
  <c r="AS37" i="7"/>
  <c r="AY37" i="7"/>
  <c r="AK38" i="7"/>
  <c r="Y38" i="7"/>
  <c r="AB38" i="7"/>
  <c r="Z38" i="7"/>
  <c r="AE38" i="7"/>
  <c r="AF38" i="7"/>
  <c r="AU41" i="7"/>
  <c r="BD41" i="7"/>
  <c r="AS41" i="7"/>
  <c r="AX41" i="7"/>
  <c r="AR41" i="7"/>
  <c r="AT41" i="7" s="1"/>
  <c r="AY41" i="7"/>
  <c r="AW42" i="7"/>
  <c r="M42" i="7" s="1"/>
  <c r="BP15" i="7"/>
  <c r="P15" i="7" s="1"/>
  <c r="BP52" i="7"/>
  <c r="P52" i="7" s="1"/>
  <c r="BP27" i="7"/>
  <c r="P27" i="7" s="1"/>
  <c r="AW15" i="7"/>
  <c r="M15" i="7" s="1"/>
  <c r="BP51" i="7"/>
  <c r="P51" i="7" s="1"/>
  <c r="BP33" i="7"/>
  <c r="P33" i="7" s="1"/>
  <c r="BP54" i="7"/>
  <c r="P54" i="7" s="1"/>
  <c r="AW13" i="7"/>
  <c r="M13" i="7" s="1"/>
  <c r="AW23" i="7"/>
  <c r="M23" i="7" s="1"/>
  <c r="AW35" i="7"/>
  <c r="M35" i="7" s="1"/>
  <c r="BP41" i="7"/>
  <c r="P41" i="7" s="1"/>
  <c r="BP42" i="7"/>
  <c r="P42" i="7" s="1"/>
  <c r="BT25" i="7"/>
  <c r="BU25" i="7"/>
  <c r="BO25" i="7"/>
  <c r="BP25" i="7" s="1"/>
  <c r="AT58" i="7"/>
  <c r="AV50" i="7"/>
  <c r="BB50" i="7"/>
  <c r="BA50" i="7"/>
  <c r="BT19" i="7"/>
  <c r="BO19" i="7"/>
  <c r="BU19" i="7"/>
  <c r="BM59" i="7"/>
  <c r="BP59" i="7" s="1"/>
  <c r="P59" i="7" s="1"/>
  <c r="AH54" i="7"/>
  <c r="AI54" i="7"/>
  <c r="AC54" i="7"/>
  <c r="BU48" i="7"/>
  <c r="BO48" i="7"/>
  <c r="BT48" i="7"/>
  <c r="BB18" i="7"/>
  <c r="AV18" i="7"/>
  <c r="BA18" i="7"/>
  <c r="BO47" i="7"/>
  <c r="BT47" i="7"/>
  <c r="BU47" i="7"/>
  <c r="BM58" i="7"/>
  <c r="BB60" i="7"/>
  <c r="BA60" i="7"/>
  <c r="AV60" i="7"/>
  <c r="BA30" i="7"/>
  <c r="AV30" i="7"/>
  <c r="AW30" i="7" s="1"/>
  <c r="BB30" i="7"/>
  <c r="AH46" i="7"/>
  <c r="AI46" i="7"/>
  <c r="AC46" i="7"/>
  <c r="AH36" i="7"/>
  <c r="AI36" i="7"/>
  <c r="AC36" i="7"/>
  <c r="BO38" i="7"/>
  <c r="BT38" i="7"/>
  <c r="BU38" i="7"/>
  <c r="BM44" i="7"/>
  <c r="BU30" i="7"/>
  <c r="BT30" i="7"/>
  <c r="BO30" i="7"/>
  <c r="AH59" i="7"/>
  <c r="AC59" i="7"/>
  <c r="AI59" i="7"/>
  <c r="AH37" i="7"/>
  <c r="AI37" i="7"/>
  <c r="AC37" i="7"/>
  <c r="AI52" i="7"/>
  <c r="AH52" i="7"/>
  <c r="AC52" i="7"/>
  <c r="BT39" i="7"/>
  <c r="BO39" i="7"/>
  <c r="BU39" i="7"/>
  <c r="BB12" i="7"/>
  <c r="BA12" i="7"/>
  <c r="AV12" i="7"/>
  <c r="AT46" i="7"/>
  <c r="AT54" i="7"/>
  <c r="AW54" i="7" s="1"/>
  <c r="BA44" i="7"/>
  <c r="AV44" i="7"/>
  <c r="BB44" i="7"/>
  <c r="AH14" i="7"/>
  <c r="AC14" i="7"/>
  <c r="AI14" i="7"/>
  <c r="AT55" i="7"/>
  <c r="BA40" i="7"/>
  <c r="AV40" i="7"/>
  <c r="AW40" i="7" s="1"/>
  <c r="BB40" i="7"/>
  <c r="AC58" i="7"/>
  <c r="AI58" i="7"/>
  <c r="AH58" i="7"/>
  <c r="BM46" i="7"/>
  <c r="AI13" i="7"/>
  <c r="AH13" i="7"/>
  <c r="AC13" i="7"/>
  <c r="AT53" i="7"/>
  <c r="BO59" i="7"/>
  <c r="BT59" i="7"/>
  <c r="BU59" i="7"/>
  <c r="AT47" i="7"/>
  <c r="AV25" i="7"/>
  <c r="AW25" i="7" s="1"/>
  <c r="BA25" i="7"/>
  <c r="BB25" i="7"/>
  <c r="BO60" i="7"/>
  <c r="BT60" i="7"/>
  <c r="BU60" i="7"/>
  <c r="BM47" i="7"/>
  <c r="BP47" i="7"/>
  <c r="P47" i="7" s="1"/>
  <c r="AC31" i="7"/>
  <c r="AH31" i="7"/>
  <c r="AI31" i="7"/>
  <c r="AV52" i="7"/>
  <c r="BB52" i="7"/>
  <c r="BA52" i="7"/>
  <c r="BM39" i="7"/>
  <c r="AT51" i="7"/>
  <c r="AI55" i="7"/>
  <c r="AC55" i="7"/>
  <c r="AH55" i="7"/>
  <c r="BU46" i="7"/>
  <c r="BO46" i="7"/>
  <c r="BT46" i="7"/>
  <c r="AT50" i="7"/>
  <c r="BB56" i="7"/>
  <c r="BA56" i="7"/>
  <c r="AV56" i="7"/>
  <c r="BM49" i="7"/>
  <c r="AI25" i="7"/>
  <c r="AH25" i="7"/>
  <c r="AC25" i="7"/>
  <c r="BB47" i="7"/>
  <c r="BA47" i="7"/>
  <c r="AV47" i="7"/>
  <c r="BM60" i="7"/>
  <c r="AC21" i="7"/>
  <c r="AH21" i="7"/>
  <c r="AI21" i="7"/>
  <c r="BT58" i="7"/>
  <c r="BU58" i="7"/>
  <c r="BO58" i="7"/>
  <c r="BP58" i="7" s="1"/>
  <c r="AC44" i="7"/>
  <c r="AH44" i="7"/>
  <c r="AI44" i="7"/>
  <c r="BU17" i="7"/>
  <c r="BO17" i="7"/>
  <c r="BT17" i="7"/>
  <c r="AV33" i="7"/>
  <c r="AW33" i="7" s="1"/>
  <c r="BB33" i="7"/>
  <c r="BA33" i="7"/>
  <c r="AI18" i="7"/>
  <c r="AC18" i="7"/>
  <c r="AH18" i="7"/>
  <c r="AV48" i="7"/>
  <c r="BB48" i="7"/>
  <c r="BA48" i="7"/>
  <c r="BM38" i="7"/>
  <c r="BT44" i="7"/>
  <c r="BU44" i="7"/>
  <c r="BO44" i="7"/>
  <c r="AT52" i="7"/>
  <c r="AH19" i="7"/>
  <c r="AC19" i="7"/>
  <c r="AI19" i="7"/>
  <c r="BM30" i="7"/>
  <c r="BM50" i="7"/>
  <c r="BO13" i="7"/>
  <c r="BP13" i="7" s="1"/>
  <c r="BT13" i="7"/>
  <c r="BU13" i="7"/>
  <c r="BB51" i="7"/>
  <c r="BA51" i="7"/>
  <c r="AV51" i="7"/>
  <c r="BB54" i="7"/>
  <c r="BA54" i="7"/>
  <c r="AV54" i="7"/>
  <c r="AC32" i="7"/>
  <c r="AI32" i="7"/>
  <c r="AH32" i="7"/>
  <c r="BU20" i="7"/>
  <c r="BT20" i="7"/>
  <c r="BO20" i="7"/>
  <c r="BB58" i="7"/>
  <c r="BA58" i="7"/>
  <c r="AV58" i="7"/>
  <c r="AT56" i="7"/>
  <c r="BB53" i="7"/>
  <c r="AV53" i="7"/>
  <c r="AW53" i="7" s="1"/>
  <c r="BA53" i="7"/>
  <c r="BO49" i="7"/>
  <c r="BP49" i="7" s="1"/>
  <c r="BU49" i="7"/>
  <c r="BT49" i="7"/>
  <c r="BM48" i="7"/>
  <c r="BA20" i="7"/>
  <c r="AV20" i="7"/>
  <c r="BB20" i="7"/>
  <c r="AH20" i="7"/>
  <c r="AI20" i="7"/>
  <c r="AC20" i="7"/>
  <c r="BA29" i="7"/>
  <c r="AV29" i="7"/>
  <c r="AW29" i="7" s="1"/>
  <c r="BB29" i="7"/>
  <c r="AH30" i="7"/>
  <c r="AI30" i="7"/>
  <c r="AC30" i="7"/>
  <c r="AT60" i="7"/>
  <c r="BO34" i="7"/>
  <c r="BP34" i="7" s="1"/>
  <c r="BU34" i="7"/>
  <c r="BT34" i="7"/>
  <c r="AH43" i="7"/>
  <c r="AI43" i="7"/>
  <c r="AC43" i="7"/>
  <c r="AT48" i="7"/>
  <c r="BB17" i="7"/>
  <c r="AV17" i="7"/>
  <c r="BA17" i="7"/>
  <c r="BA24" i="7"/>
  <c r="BB24" i="7"/>
  <c r="AV24" i="7"/>
  <c r="AW24" i="7" s="1"/>
  <c r="AI17" i="7"/>
  <c r="AH17" i="7"/>
  <c r="AC17" i="7"/>
  <c r="AH27" i="7"/>
  <c r="AC27" i="7"/>
  <c r="AI27" i="7"/>
  <c r="BU50" i="7"/>
  <c r="BO50" i="7"/>
  <c r="BP50" i="7" s="1"/>
  <c r="P50" i="7" s="1"/>
  <c r="BT50" i="7"/>
  <c r="BA46" i="7"/>
  <c r="AV46" i="7"/>
  <c r="BB46" i="7"/>
  <c r="AT44" i="7"/>
  <c r="AH39" i="7"/>
  <c r="AI39" i="7"/>
  <c r="AC39" i="7"/>
  <c r="BA55" i="7"/>
  <c r="AV55" i="7"/>
  <c r="BB55" i="7"/>
  <c r="M21" i="7"/>
  <c r="P45" i="7"/>
  <c r="P29" i="7"/>
  <c r="P23" i="7"/>
  <c r="P32" i="7"/>
  <c r="P57" i="7"/>
  <c r="M27" i="7"/>
  <c r="M22" i="7"/>
  <c r="P36" i="7"/>
  <c r="M14" i="7"/>
  <c r="M57" i="7"/>
  <c r="M36" i="7"/>
  <c r="M31" i="7"/>
  <c r="M59" i="7"/>
  <c r="P31" i="7"/>
  <c r="P43" i="7"/>
  <c r="M32" i="7"/>
  <c r="P24" i="7"/>
  <c r="P40" i="7"/>
  <c r="AS152" i="3"/>
  <c r="V632" i="6"/>
  <c r="V656" i="6"/>
  <c r="AS175" i="3"/>
  <c r="V644" i="6"/>
  <c r="AU191" i="3"/>
  <c r="AU192" i="3" s="1"/>
  <c r="AU145" i="3"/>
  <c r="AU146" i="3" s="1"/>
  <c r="AU148" i="3" s="1"/>
  <c r="AV188" i="3"/>
  <c r="AV189" i="3" s="1"/>
  <c r="AV190" i="3"/>
  <c r="AT195" i="3"/>
  <c r="AT197" i="3" s="1"/>
  <c r="AT193" i="3"/>
  <c r="AT196" i="3" s="1"/>
  <c r="AT194" i="3"/>
  <c r="AW162" i="3"/>
  <c r="AX158" i="3"/>
  <c r="AW163" i="3"/>
  <c r="AV167" i="3"/>
  <c r="AV165" i="3"/>
  <c r="AV166" i="3" s="1"/>
  <c r="AT149" i="3"/>
  <c r="AT151" i="3" s="1"/>
  <c r="AT147" i="3"/>
  <c r="AT150" i="3" s="1"/>
  <c r="AT148" i="3"/>
  <c r="AU168" i="3"/>
  <c r="AU169" i="3" s="1"/>
  <c r="AV144" i="3"/>
  <c r="AV142" i="3"/>
  <c r="AV143" i="3" s="1"/>
  <c r="AW139" i="3"/>
  <c r="AW140" i="3"/>
  <c r="AX135" i="3"/>
  <c r="AW185" i="3"/>
  <c r="AX181" i="3"/>
  <c r="AW186" i="3"/>
  <c r="AT171" i="3"/>
  <c r="AT170" i="3"/>
  <c r="AT173" i="3" s="1"/>
  <c r="AT172" i="3"/>
  <c r="AT174" i="3" s="1"/>
  <c r="H632" i="6"/>
  <c r="J632" i="6"/>
  <c r="K632" i="6"/>
  <c r="I632" i="6"/>
  <c r="L632" i="6"/>
  <c r="I744" i="6"/>
  <c r="DT191" i="7"/>
  <c r="DZ191" i="7" s="1"/>
  <c r="DT118" i="7"/>
  <c r="DU118" i="7" s="1"/>
  <c r="DT153" i="7"/>
  <c r="DZ153" i="7" s="1"/>
  <c r="DN92" i="7"/>
  <c r="DO92" i="7" s="1"/>
  <c r="DP92" i="7" s="1"/>
  <c r="DQ92" i="7" s="1"/>
  <c r="DT92" i="7" s="1"/>
  <c r="AV29" i="3"/>
  <c r="AV30" i="3" s="1"/>
  <c r="AP32" i="3"/>
  <c r="AP33" i="3"/>
  <c r="AP31" i="3"/>
  <c r="AP34" i="3" s="1"/>
  <c r="BA32" i="3"/>
  <c r="BA33" i="3"/>
  <c r="BA31" i="3"/>
  <c r="BA34" i="3" s="1"/>
  <c r="AT32" i="3"/>
  <c r="AT33" i="3"/>
  <c r="AT31" i="3"/>
  <c r="AT34" i="3" s="1"/>
  <c r="AZ32" i="3"/>
  <c r="AZ33" i="3"/>
  <c r="AZ31" i="3"/>
  <c r="AZ34" i="3" s="1"/>
  <c r="BN59" i="3"/>
  <c r="Z80" i="3" s="1"/>
  <c r="Y80" i="3"/>
  <c r="BF12" i="3"/>
  <c r="BF16" i="3" s="1"/>
  <c r="Z60" i="3"/>
  <c r="BD12" i="3"/>
  <c r="BD16" i="3" s="1"/>
  <c r="Z44" i="3"/>
  <c r="AJ36" i="3"/>
  <c r="X27" i="3" s="1"/>
  <c r="W27" i="3"/>
  <c r="BK36" i="3"/>
  <c r="X61" i="3" s="1"/>
  <c r="W61" i="3"/>
  <c r="BI13" i="3"/>
  <c r="BI17" i="3" s="1"/>
  <c r="X43" i="3"/>
  <c r="BG13" i="3"/>
  <c r="BG17" i="3" s="1"/>
  <c r="X57" i="3"/>
  <c r="X47" i="3"/>
  <c r="Y79" i="3"/>
  <c r="BL59" i="3"/>
  <c r="Z79" i="3" s="1"/>
  <c r="BN35" i="3"/>
  <c r="Z59" i="3" s="1"/>
  <c r="Y59" i="3"/>
  <c r="AN33" i="3"/>
  <c r="AN32" i="3"/>
  <c r="AN31" i="3"/>
  <c r="AN34" i="3" s="1"/>
  <c r="AU32" i="3"/>
  <c r="AU33" i="3"/>
  <c r="AU31" i="3"/>
  <c r="AU34" i="3" s="1"/>
  <c r="BD65" i="3"/>
  <c r="BD69" i="3" s="1"/>
  <c r="BF65" i="3"/>
  <c r="BF69" i="3" s="1"/>
  <c r="X94" i="3"/>
  <c r="X102" i="3"/>
  <c r="X86" i="3"/>
  <c r="Z85" i="3"/>
  <c r="BI64" i="3"/>
  <c r="BI68" i="3" s="1"/>
  <c r="BG64" i="3"/>
  <c r="BG68" i="3" s="1"/>
  <c r="Z99" i="3"/>
  <c r="Z94" i="3"/>
  <c r="Z89" i="3"/>
  <c r="W25" i="3"/>
  <c r="AH36" i="3"/>
  <c r="X25" i="3" s="1"/>
  <c r="Y27" i="3"/>
  <c r="AJ35" i="3"/>
  <c r="Z27" i="3" s="1"/>
  <c r="BG41" i="3"/>
  <c r="BG45" i="3" s="1"/>
  <c r="BI41" i="3"/>
  <c r="BI45" i="3" s="1"/>
  <c r="Z64" i="3"/>
  <c r="Z68" i="3"/>
  <c r="Z73" i="3"/>
  <c r="Z78" i="3"/>
  <c r="BI12" i="3"/>
  <c r="BI16" i="3" s="1"/>
  <c r="Z43" i="3"/>
  <c r="Z47" i="3"/>
  <c r="Z52" i="3"/>
  <c r="Z57" i="3"/>
  <c r="BG12" i="3"/>
  <c r="BG16" i="3" s="1"/>
  <c r="W83" i="3"/>
  <c r="BM60" i="3"/>
  <c r="X83" i="3" s="1"/>
  <c r="AQ33" i="3"/>
  <c r="AQ32" i="3"/>
  <c r="AQ31" i="3"/>
  <c r="AQ34" i="3" s="1"/>
  <c r="W28" i="3"/>
  <c r="AK36" i="3"/>
  <c r="X28" i="3" s="1"/>
  <c r="Y26" i="3"/>
  <c r="AI35" i="3"/>
  <c r="Z26" i="3" s="1"/>
  <c r="BL36" i="3"/>
  <c r="X58" i="3" s="1"/>
  <c r="W58" i="3"/>
  <c r="AZ83" i="3"/>
  <c r="W87" i="3"/>
  <c r="W98" i="3"/>
  <c r="BK60" i="3"/>
  <c r="X82" i="3" s="1"/>
  <c r="W82" i="3"/>
  <c r="BK35" i="3"/>
  <c r="Z61" i="3" s="1"/>
  <c r="Y61" i="3"/>
  <c r="Y25" i="3"/>
  <c r="AH35" i="3"/>
  <c r="Z25" i="3" s="1"/>
  <c r="W26" i="3"/>
  <c r="AI36" i="3"/>
  <c r="X26" i="3" s="1"/>
  <c r="AO32" i="3"/>
  <c r="AO33" i="3"/>
  <c r="AO31" i="3"/>
  <c r="AO34" i="3" s="1"/>
  <c r="W93" i="3"/>
  <c r="BA83" i="3"/>
  <c r="W88" i="3"/>
  <c r="AK35" i="3"/>
  <c r="Z28" i="3" s="1"/>
  <c r="Y28" i="3"/>
  <c r="BL35" i="3"/>
  <c r="Z58" i="3" s="1"/>
  <c r="Y58" i="3"/>
  <c r="BA82" i="3"/>
  <c r="Y88" i="3"/>
  <c r="Y93" i="3"/>
  <c r="BM35" i="3"/>
  <c r="Z62" i="3" s="1"/>
  <c r="Y62" i="3"/>
  <c r="BI65" i="3"/>
  <c r="BI69" i="3" s="1"/>
  <c r="X85" i="3"/>
  <c r="X89" i="3"/>
  <c r="X99" i="3"/>
  <c r="BG65" i="3"/>
  <c r="BG69" i="3" s="1"/>
  <c r="BL60" i="3"/>
  <c r="X79" i="3" s="1"/>
  <c r="W79" i="3"/>
  <c r="BN36" i="3"/>
  <c r="X59" i="3" s="1"/>
  <c r="W59" i="3"/>
  <c r="Y82" i="3"/>
  <c r="BK59" i="3"/>
  <c r="Z82" i="3" s="1"/>
  <c r="BG42" i="3"/>
  <c r="BG46" i="3" s="1"/>
  <c r="BI42" i="3"/>
  <c r="BI46" i="3" s="1"/>
  <c r="X64" i="3"/>
  <c r="X68" i="3"/>
  <c r="X78" i="3"/>
  <c r="W80" i="3"/>
  <c r="BN60" i="3"/>
  <c r="X80" i="3" s="1"/>
  <c r="BM36" i="3"/>
  <c r="X62" i="3" s="1"/>
  <c r="W62" i="3"/>
  <c r="BM59" i="3"/>
  <c r="Z83" i="3" s="1"/>
  <c r="Y83" i="3"/>
  <c r="AW29" i="3"/>
  <c r="AW30" i="3" s="1"/>
  <c r="AZ82" i="3"/>
  <c r="Y98" i="3"/>
  <c r="Y87" i="3"/>
  <c r="DO64" i="7"/>
  <c r="DP64" i="7" s="1"/>
  <c r="DQ64" i="7" s="1"/>
  <c r="DT64" i="7" s="1"/>
  <c r="DU64" i="7" s="1"/>
  <c r="DO166" i="7"/>
  <c r="DP166" i="7" s="1"/>
  <c r="DQ166" i="7" s="1"/>
  <c r="DT166" i="7" s="1"/>
  <c r="DO82" i="7"/>
  <c r="DP82" i="7" s="1"/>
  <c r="DQ82" i="7" s="1"/>
  <c r="DT82" i="7" s="1"/>
  <c r="DU82" i="7" s="1"/>
  <c r="DO107" i="7"/>
  <c r="DP107" i="7" s="1"/>
  <c r="DQ107" i="7" s="1"/>
  <c r="DO187" i="7"/>
  <c r="DP187" i="7" s="1"/>
  <c r="DQ187" i="7" s="1"/>
  <c r="DO114" i="7"/>
  <c r="DP114" i="7" s="1"/>
  <c r="DQ114" i="7" s="1"/>
  <c r="DO192" i="7"/>
  <c r="DP192" i="7" s="1"/>
  <c r="DQ192" i="7" s="1"/>
  <c r="DO144" i="7"/>
  <c r="DP144" i="7" s="1"/>
  <c r="DQ144" i="7" s="1"/>
  <c r="BB11" i="7"/>
  <c r="BA11" i="7"/>
  <c r="AV11" i="7"/>
  <c r="BU11" i="7"/>
  <c r="BT11" i="7"/>
  <c r="BO11" i="7"/>
  <c r="AI11" i="7"/>
  <c r="AC11" i="7"/>
  <c r="DO193" i="7"/>
  <c r="DP193" i="7" s="1"/>
  <c r="DQ193" i="7" s="1"/>
  <c r="DO184" i="7"/>
  <c r="DP184" i="7" s="1"/>
  <c r="DQ184" i="7" s="1"/>
  <c r="DO176" i="7"/>
  <c r="DP176" i="7" s="1"/>
  <c r="DQ176" i="7" s="1"/>
  <c r="DO90" i="7"/>
  <c r="DP90" i="7" s="1"/>
  <c r="DQ90" i="7" s="1"/>
  <c r="DO121" i="7"/>
  <c r="DP121" i="7" s="1"/>
  <c r="DQ121" i="7" s="1"/>
  <c r="DO67" i="7"/>
  <c r="DP67" i="7" s="1"/>
  <c r="DQ67" i="7" s="1"/>
  <c r="DO83" i="7"/>
  <c r="DP83" i="7" s="1"/>
  <c r="DQ83" i="7" s="1"/>
  <c r="DT102" i="7"/>
  <c r="DR102" i="7"/>
  <c r="DS102" i="7" s="1"/>
  <c r="DV102" i="7" s="1"/>
  <c r="DO156" i="7"/>
  <c r="DP156" i="7" s="1"/>
  <c r="DQ156" i="7" s="1"/>
  <c r="DO116" i="7"/>
  <c r="DP116" i="7" s="1"/>
  <c r="DQ116" i="7" s="1"/>
  <c r="DO78" i="7"/>
  <c r="DP78" i="7" s="1"/>
  <c r="DQ78" i="7" s="1"/>
  <c r="DO147" i="7"/>
  <c r="DP147" i="7" s="1"/>
  <c r="DQ147" i="7" s="1"/>
  <c r="DO150" i="7"/>
  <c r="DP150" i="7" s="1"/>
  <c r="DQ150" i="7" s="1"/>
  <c r="DO205" i="7"/>
  <c r="DP205" i="7" s="1"/>
  <c r="DQ205" i="7" s="1"/>
  <c r="DL202" i="7"/>
  <c r="DM202" i="7" s="1"/>
  <c r="DN202" i="7"/>
  <c r="DO105" i="7"/>
  <c r="DP105" i="7" s="1"/>
  <c r="DQ105" i="7" s="1"/>
  <c r="DO75" i="7"/>
  <c r="DP75" i="7" s="1"/>
  <c r="DQ75" i="7" s="1"/>
  <c r="DO190" i="7"/>
  <c r="DP190" i="7" s="1"/>
  <c r="DQ190" i="7" s="1"/>
  <c r="DO195" i="7"/>
  <c r="DP195" i="7" s="1"/>
  <c r="DQ195" i="7" s="1"/>
  <c r="DO71" i="7"/>
  <c r="DP71" i="7" s="1"/>
  <c r="DQ71" i="7" s="1"/>
  <c r="DO108" i="7"/>
  <c r="DP108" i="7" s="1"/>
  <c r="DQ108" i="7" s="1"/>
  <c r="DO77" i="7"/>
  <c r="DP77" i="7" s="1"/>
  <c r="DQ77" i="7" s="1"/>
  <c r="DO126" i="7"/>
  <c r="DP126" i="7" s="1"/>
  <c r="DQ126" i="7" s="1"/>
  <c r="DO101" i="7"/>
  <c r="DP101" i="7" s="1"/>
  <c r="DQ101" i="7" s="1"/>
  <c r="DO152" i="7"/>
  <c r="DP152" i="7" s="1"/>
  <c r="DQ152" i="7" s="1"/>
  <c r="DT188" i="7"/>
  <c r="DR188" i="7"/>
  <c r="DS188" i="7" s="1"/>
  <c r="DV188" i="7" s="1"/>
  <c r="DR179" i="7"/>
  <c r="DS179" i="7" s="1"/>
  <c r="DV179" i="7" s="1"/>
  <c r="DT179" i="7"/>
  <c r="DR203" i="7"/>
  <c r="DS203" i="7" s="1"/>
  <c r="DV203" i="7" s="1"/>
  <c r="DT203" i="7"/>
  <c r="DR161" i="7"/>
  <c r="DS161" i="7" s="1"/>
  <c r="DV161" i="7" s="1"/>
  <c r="DT161" i="7"/>
  <c r="DR146" i="7"/>
  <c r="DS146" i="7" s="1"/>
  <c r="DV146" i="7" s="1"/>
  <c r="DT146" i="7"/>
  <c r="DT182" i="7"/>
  <c r="DR182" i="7"/>
  <c r="DS182" i="7" s="1"/>
  <c r="DV182" i="7" s="1"/>
  <c r="DT197" i="7"/>
  <c r="DR197" i="7"/>
  <c r="DS197" i="7" s="1"/>
  <c r="DV197" i="7" s="1"/>
  <c r="DR138" i="7"/>
  <c r="DS138" i="7" s="1"/>
  <c r="DV138" i="7" s="1"/>
  <c r="DT138" i="7"/>
  <c r="DR73" i="7"/>
  <c r="DS73" i="7" s="1"/>
  <c r="DV73" i="7" s="1"/>
  <c r="DT73" i="7"/>
  <c r="DR111" i="7"/>
  <c r="DS111" i="7" s="1"/>
  <c r="DV111" i="7" s="1"/>
  <c r="DT111" i="7"/>
  <c r="DT129" i="7"/>
  <c r="DR129" i="7"/>
  <c r="DS129" i="7" s="1"/>
  <c r="DV129" i="7" s="1"/>
  <c r="DR173" i="7"/>
  <c r="DS173" i="7" s="1"/>
  <c r="DV173" i="7" s="1"/>
  <c r="DT173" i="7"/>
  <c r="DT93" i="7"/>
  <c r="DR93" i="7"/>
  <c r="DS93" i="7" s="1"/>
  <c r="DV93" i="7" s="1"/>
  <c r="DR154" i="7"/>
  <c r="DS154" i="7" s="1"/>
  <c r="DV154" i="7" s="1"/>
  <c r="DT154" i="7"/>
  <c r="DT164" i="7"/>
  <c r="DR164" i="7"/>
  <c r="DS164" i="7" s="1"/>
  <c r="DV164" i="7" s="1"/>
  <c r="DT86" i="7"/>
  <c r="DR86" i="7"/>
  <c r="DS86" i="7" s="1"/>
  <c r="DV86" i="7" s="1"/>
  <c r="DR58" i="7"/>
  <c r="DS58" i="7" s="1"/>
  <c r="DV58" i="7" s="1"/>
  <c r="DT58" i="7"/>
  <c r="EA69" i="7"/>
  <c r="EC69" i="7" s="1"/>
  <c r="DW69" i="7"/>
  <c r="DT81" i="7"/>
  <c r="DR81" i="7"/>
  <c r="DS81" i="7" s="1"/>
  <c r="DV81" i="7" s="1"/>
  <c r="DT106" i="7"/>
  <c r="DR106" i="7"/>
  <c r="DS106" i="7" s="1"/>
  <c r="DV106" i="7" s="1"/>
  <c r="DR123" i="7"/>
  <c r="DS123" i="7" s="1"/>
  <c r="DV123" i="7" s="1"/>
  <c r="DT123" i="7"/>
  <c r="EB168" i="7"/>
  <c r="EE168" i="7" s="1"/>
  <c r="DU159" i="7"/>
  <c r="DZ159" i="7"/>
  <c r="DU87" i="7"/>
  <c r="DZ87" i="7"/>
  <c r="DN134" i="7"/>
  <c r="DL134" i="7"/>
  <c r="DM134" i="7" s="1"/>
  <c r="DT89" i="7"/>
  <c r="DR89" i="7"/>
  <c r="DS89" i="7" s="1"/>
  <c r="DV89" i="7" s="1"/>
  <c r="DU128" i="7"/>
  <c r="DZ128" i="7"/>
  <c r="DZ68" i="7"/>
  <c r="DU68" i="7"/>
  <c r="DU199" i="7"/>
  <c r="DZ199" i="7"/>
  <c r="EA162" i="7"/>
  <c r="EC162" i="7" s="1"/>
  <c r="DW162" i="7"/>
  <c r="EA62" i="7"/>
  <c r="EC62" i="7" s="1"/>
  <c r="DW62" i="7"/>
  <c r="DO60" i="7"/>
  <c r="DP60" i="7" s="1"/>
  <c r="DQ60" i="7" s="1"/>
  <c r="DO165" i="7"/>
  <c r="DP165" i="7" s="1"/>
  <c r="DQ165" i="7" s="1"/>
  <c r="DO149" i="7"/>
  <c r="DP149" i="7" s="1"/>
  <c r="DQ149" i="7" s="1"/>
  <c r="DO143" i="7"/>
  <c r="DP143" i="7" s="1"/>
  <c r="DQ143" i="7" s="1"/>
  <c r="DO204" i="7"/>
  <c r="DP204" i="7" s="1"/>
  <c r="DQ204" i="7" s="1"/>
  <c r="DL135" i="7"/>
  <c r="DM135" i="7" s="1"/>
  <c r="DN135" i="7"/>
  <c r="DW128" i="7"/>
  <c r="EA128" i="7"/>
  <c r="EC128" i="7" s="1"/>
  <c r="DW199" i="7"/>
  <c r="EA199" i="7"/>
  <c r="EC199" i="7" s="1"/>
  <c r="DR189" i="7"/>
  <c r="DS189" i="7" s="1"/>
  <c r="DV189" i="7" s="1"/>
  <c r="DT189" i="7"/>
  <c r="DT178" i="7"/>
  <c r="DR178" i="7"/>
  <c r="DS178" i="7" s="1"/>
  <c r="DV178" i="7" s="1"/>
  <c r="DL122" i="7"/>
  <c r="DM122" i="7" s="1"/>
  <c r="DN122" i="7"/>
  <c r="DT63" i="7"/>
  <c r="DR63" i="7"/>
  <c r="DS63" i="7" s="1"/>
  <c r="DV63" i="7" s="1"/>
  <c r="EA68" i="7"/>
  <c r="EC68" i="7" s="1"/>
  <c r="DW68" i="7"/>
  <c r="DR110" i="7"/>
  <c r="DS110" i="7" s="1"/>
  <c r="DV110" i="7" s="1"/>
  <c r="DT110" i="7"/>
  <c r="DL80" i="7"/>
  <c r="DM80" i="7" s="1"/>
  <c r="DN80" i="7"/>
  <c r="DR119" i="7"/>
  <c r="DS119" i="7" s="1"/>
  <c r="DV119" i="7" s="1"/>
  <c r="DT119" i="7"/>
  <c r="DN97" i="7"/>
  <c r="DL97" i="7"/>
  <c r="DM97" i="7" s="1"/>
  <c r="EA118" i="7"/>
  <c r="EC118" i="7" s="1"/>
  <c r="DW118" i="7"/>
  <c r="DT109" i="7"/>
  <c r="DR109" i="7"/>
  <c r="DS109" i="7" s="1"/>
  <c r="DV109" i="7" s="1"/>
  <c r="DL72" i="7"/>
  <c r="DM72" i="7" s="1"/>
  <c r="DN72" i="7"/>
  <c r="DT94" i="7"/>
  <c r="DR94" i="7"/>
  <c r="DS94" i="7" s="1"/>
  <c r="DV94" i="7" s="1"/>
  <c r="DL181" i="7"/>
  <c r="DM181" i="7" s="1"/>
  <c r="DN181" i="7"/>
  <c r="DL174" i="7"/>
  <c r="DM174" i="7" s="1"/>
  <c r="DN174" i="7"/>
  <c r="EA98" i="7"/>
  <c r="EC98" i="7" s="1"/>
  <c r="DW98" i="7"/>
  <c r="DR185" i="7"/>
  <c r="DS185" i="7" s="1"/>
  <c r="DV185" i="7" s="1"/>
  <c r="DT185" i="7"/>
  <c r="DL133" i="7"/>
  <c r="DM133" i="7" s="1"/>
  <c r="DN133" i="7"/>
  <c r="EA198" i="7"/>
  <c r="EC198" i="7" s="1"/>
  <c r="DW198" i="7"/>
  <c r="DL84" i="7"/>
  <c r="DM84" i="7" s="1"/>
  <c r="DN84" i="7"/>
  <c r="DU112" i="7"/>
  <c r="DZ112" i="7"/>
  <c r="DW96" i="7"/>
  <c r="EA96" i="7"/>
  <c r="EC96" i="7" s="1"/>
  <c r="DO76" i="7"/>
  <c r="DP76" i="7" s="1"/>
  <c r="DQ76" i="7" s="1"/>
  <c r="DO151" i="7"/>
  <c r="DP151" i="7" s="1"/>
  <c r="DQ151" i="7" s="1"/>
  <c r="DO85" i="7"/>
  <c r="DP85" i="7" s="1"/>
  <c r="DQ85" i="7" s="1"/>
  <c r="DO172" i="7"/>
  <c r="DP172" i="7" s="1"/>
  <c r="DQ172" i="7" s="1"/>
  <c r="DT201" i="7"/>
  <c r="DR201" i="7"/>
  <c r="DS201" i="7" s="1"/>
  <c r="DV201" i="7" s="1"/>
  <c r="DR180" i="7"/>
  <c r="DS180" i="7" s="1"/>
  <c r="DV180" i="7" s="1"/>
  <c r="DT180" i="7"/>
  <c r="DT95" i="7"/>
  <c r="DR95" i="7"/>
  <c r="DS95" i="7" s="1"/>
  <c r="DV95" i="7" s="1"/>
  <c r="DZ132" i="7"/>
  <c r="DU132" i="7"/>
  <c r="DW155" i="7"/>
  <c r="EA155" i="7"/>
  <c r="EC155" i="7" s="1"/>
  <c r="DN115" i="7"/>
  <c r="DL115" i="7"/>
  <c r="DM115" i="7" s="1"/>
  <c r="DR117" i="7"/>
  <c r="DS117" i="7" s="1"/>
  <c r="DV117" i="7" s="1"/>
  <c r="DT117" i="7"/>
  <c r="DR206" i="7"/>
  <c r="DS206" i="7" s="1"/>
  <c r="DV206" i="7" s="1"/>
  <c r="DT206" i="7"/>
  <c r="DL145" i="7"/>
  <c r="DM145" i="7" s="1"/>
  <c r="DN145" i="7"/>
  <c r="DT200" i="7"/>
  <c r="DR200" i="7"/>
  <c r="DS200" i="7" s="1"/>
  <c r="DV200" i="7" s="1"/>
  <c r="DN130" i="7"/>
  <c r="DL130" i="7"/>
  <c r="DM130" i="7" s="1"/>
  <c r="DZ98" i="7"/>
  <c r="DU98" i="7"/>
  <c r="DU198" i="7"/>
  <c r="DZ198" i="7"/>
  <c r="EA112" i="7"/>
  <c r="EC112" i="7" s="1"/>
  <c r="DW112" i="7"/>
  <c r="DZ96" i="7"/>
  <c r="DU96" i="7"/>
  <c r="DO59" i="7"/>
  <c r="DP59" i="7" s="1"/>
  <c r="DQ59" i="7" s="1"/>
  <c r="DO140" i="7"/>
  <c r="DP140" i="7" s="1"/>
  <c r="DQ140" i="7" s="1"/>
  <c r="DT175" i="7"/>
  <c r="DR175" i="7"/>
  <c r="DS175" i="7" s="1"/>
  <c r="DV175" i="7" s="1"/>
  <c r="EA87" i="7"/>
  <c r="EC87" i="7" s="1"/>
  <c r="DW87" i="7"/>
  <c r="DL139" i="7"/>
  <c r="DM139" i="7" s="1"/>
  <c r="DN139" i="7"/>
  <c r="DZ62" i="7"/>
  <c r="DU62" i="7"/>
  <c r="DW132" i="7"/>
  <c r="EA132" i="7"/>
  <c r="EC132" i="7" s="1"/>
  <c r="DZ155" i="7"/>
  <c r="DU155" i="7"/>
  <c r="DR177" i="7"/>
  <c r="DS177" i="7" s="1"/>
  <c r="DV177" i="7" s="1"/>
  <c r="DT177" i="7"/>
  <c r="DR88" i="7"/>
  <c r="DS88" i="7" s="1"/>
  <c r="DV88" i="7" s="1"/>
  <c r="DT88" i="7"/>
  <c r="DL79" i="7"/>
  <c r="DM79" i="7" s="1"/>
  <c r="DN79" i="7"/>
  <c r="EA153" i="7"/>
  <c r="EC153" i="7" s="1"/>
  <c r="DW153" i="7"/>
  <c r="DN141" i="7"/>
  <c r="DL141" i="7"/>
  <c r="DM141" i="7" s="1"/>
  <c r="DT186" i="7"/>
  <c r="DR186" i="7"/>
  <c r="DS186" i="7" s="1"/>
  <c r="DV186" i="7" s="1"/>
  <c r="DR125" i="7"/>
  <c r="DS125" i="7" s="1"/>
  <c r="DV125" i="7" s="1"/>
  <c r="DT125" i="7"/>
  <c r="DR91" i="7"/>
  <c r="DS91" i="7" s="1"/>
  <c r="DV91" i="7" s="1"/>
  <c r="DT91" i="7"/>
  <c r="DR196" i="7"/>
  <c r="DS196" i="7" s="1"/>
  <c r="DV196" i="7" s="1"/>
  <c r="DT196" i="7"/>
  <c r="DR131" i="7"/>
  <c r="DS131" i="7" s="1"/>
  <c r="DV131" i="7" s="1"/>
  <c r="DT131" i="7"/>
  <c r="DL74" i="7"/>
  <c r="DM74" i="7" s="1"/>
  <c r="DN74" i="7"/>
  <c r="DL124" i="7"/>
  <c r="DM124" i="7" s="1"/>
  <c r="DN124" i="7"/>
  <c r="DT103" i="7"/>
  <c r="DR103" i="7"/>
  <c r="DS103" i="7" s="1"/>
  <c r="DV103" i="7" s="1"/>
  <c r="DW169" i="7"/>
  <c r="EA169" i="7"/>
  <c r="EC169" i="7" s="1"/>
  <c r="DW191" i="7"/>
  <c r="EA191" i="7"/>
  <c r="EC191" i="7" s="1"/>
  <c r="DN183" i="7"/>
  <c r="DL183" i="7"/>
  <c r="DM183" i="7" s="1"/>
  <c r="DU160" i="7"/>
  <c r="DZ160" i="7"/>
  <c r="DW70" i="7"/>
  <c r="EA70" i="7"/>
  <c r="EC70" i="7" s="1"/>
  <c r="DO157" i="7"/>
  <c r="DP157" i="7" s="1"/>
  <c r="DQ157" i="7" s="1"/>
  <c r="DO104" i="7"/>
  <c r="DP104" i="7" s="1"/>
  <c r="DQ104" i="7" s="1"/>
  <c r="DO100" i="7"/>
  <c r="DP100" i="7" s="1"/>
  <c r="DQ100" i="7" s="1"/>
  <c r="DO57" i="7"/>
  <c r="DP57" i="7" s="1"/>
  <c r="DQ57" i="7" s="1"/>
  <c r="DO137" i="7"/>
  <c r="DP137" i="7" s="1"/>
  <c r="DQ137" i="7" s="1"/>
  <c r="DT127" i="7"/>
  <c r="DR127" i="7"/>
  <c r="DS127" i="7" s="1"/>
  <c r="DV127" i="7" s="1"/>
  <c r="DT61" i="7"/>
  <c r="DR61" i="7"/>
  <c r="DS61" i="7" s="1"/>
  <c r="DV61" i="7" s="1"/>
  <c r="DR158" i="7"/>
  <c r="DS158" i="7" s="1"/>
  <c r="DV158" i="7" s="1"/>
  <c r="DT158" i="7"/>
  <c r="DU162" i="7"/>
  <c r="DZ162" i="7"/>
  <c r="DT170" i="7"/>
  <c r="DR170" i="7"/>
  <c r="DS170" i="7" s="1"/>
  <c r="DV170" i="7" s="1"/>
  <c r="DZ69" i="7"/>
  <c r="DU69" i="7"/>
  <c r="DT167" i="7"/>
  <c r="DR167" i="7"/>
  <c r="DS167" i="7" s="1"/>
  <c r="DV167" i="7" s="1"/>
  <c r="EA159" i="7"/>
  <c r="EC159" i="7" s="1"/>
  <c r="DW159" i="7"/>
  <c r="DR171" i="7"/>
  <c r="DS171" i="7" s="1"/>
  <c r="DV171" i="7" s="1"/>
  <c r="DT171" i="7"/>
  <c r="DZ169" i="7"/>
  <c r="DU169" i="7"/>
  <c r="DR99" i="7"/>
  <c r="DS99" i="7" s="1"/>
  <c r="DV99" i="7" s="1"/>
  <c r="DT99" i="7"/>
  <c r="DW160" i="7"/>
  <c r="EA160" i="7"/>
  <c r="EC160" i="7" s="1"/>
  <c r="DU70" i="7"/>
  <c r="DZ70" i="7"/>
  <c r="DO163" i="7"/>
  <c r="DP163" i="7" s="1"/>
  <c r="DQ163" i="7" s="1"/>
  <c r="DO113" i="7"/>
  <c r="DP113" i="7" s="1"/>
  <c r="DQ113" i="7" s="1"/>
  <c r="DO142" i="7"/>
  <c r="DP142" i="7" s="1"/>
  <c r="DQ142" i="7" s="1"/>
  <c r="DO194" i="7"/>
  <c r="DP194" i="7" s="1"/>
  <c r="DQ194" i="7" s="1"/>
  <c r="DO136" i="7"/>
  <c r="DP136" i="7" s="1"/>
  <c r="DQ136" i="7" s="1"/>
  <c r="DO148" i="7"/>
  <c r="DP148" i="7" s="1"/>
  <c r="DQ148" i="7" s="1"/>
  <c r="DO66" i="7"/>
  <c r="DP66" i="7" s="1"/>
  <c r="DQ66" i="7" s="1"/>
  <c r="DO120" i="7"/>
  <c r="DP120" i="7" s="1"/>
  <c r="DQ120" i="7" s="1"/>
  <c r="DO65" i="7"/>
  <c r="DP65" i="7" s="1"/>
  <c r="DQ65" i="7" s="1"/>
  <c r="Y72" i="3" l="1"/>
  <c r="BA59" i="3"/>
  <c r="Z72" i="3" s="1"/>
  <c r="Z86" i="3"/>
  <c r="Z102" i="3"/>
  <c r="BD64" i="3"/>
  <c r="BD68" i="3" s="1"/>
  <c r="BD73" i="3" s="1"/>
  <c r="BD74" i="3" s="1"/>
  <c r="X60" i="3"/>
  <c r="X52" i="3"/>
  <c r="BF13" i="3"/>
  <c r="BF17" i="3" s="1"/>
  <c r="X44" i="3"/>
  <c r="Z65" i="3"/>
  <c r="BD41" i="3"/>
  <c r="BD45" i="3" s="1"/>
  <c r="BD50" i="3" s="1"/>
  <c r="BD51" i="3" s="1"/>
  <c r="Z81" i="3"/>
  <c r="I746" i="6"/>
  <c r="BA60" i="3"/>
  <c r="X72" i="3" s="1"/>
  <c r="W67" i="3"/>
  <c r="X73" i="3"/>
  <c r="BF42" i="3"/>
  <c r="BF46" i="3" s="1"/>
  <c r="BD42" i="3"/>
  <c r="BD46" i="3" s="1"/>
  <c r="X81" i="3"/>
  <c r="Y77" i="3"/>
  <c r="W77" i="3"/>
  <c r="W66" i="3"/>
  <c r="AZ59" i="3"/>
  <c r="Z77" i="3" s="1"/>
  <c r="AW47" i="7"/>
  <c r="M47" i="7" s="1"/>
  <c r="AW46" i="7"/>
  <c r="M46" i="7" s="1"/>
  <c r="BP48" i="7"/>
  <c r="P48" i="7" s="1"/>
  <c r="AW48" i="7"/>
  <c r="M48" i="7" s="1"/>
  <c r="BP30" i="7"/>
  <c r="P30" i="7" s="1"/>
  <c r="BP38" i="7"/>
  <c r="P38" i="7" s="1"/>
  <c r="BP44" i="7"/>
  <c r="P44" i="7" s="1"/>
  <c r="AW50" i="7"/>
  <c r="M50" i="7" s="1"/>
  <c r="AW55" i="7"/>
  <c r="M55" i="7" s="1"/>
  <c r="AW58" i="7"/>
  <c r="M58" i="7" s="1"/>
  <c r="AW51" i="7"/>
  <c r="M51" i="7" s="1"/>
  <c r="AW52" i="7"/>
  <c r="M52" i="7" s="1"/>
  <c r="AW56" i="7"/>
  <c r="M56" i="7" s="1"/>
  <c r="BP46" i="7"/>
  <c r="P46" i="7" s="1"/>
  <c r="AW44" i="7"/>
  <c r="M44" i="7" s="1"/>
  <c r="AW60" i="7"/>
  <c r="M60" i="7" s="1"/>
  <c r="BP39" i="7"/>
  <c r="P39" i="7" s="1"/>
  <c r="BP60" i="7"/>
  <c r="P60" i="7" s="1"/>
  <c r="AI33" i="7"/>
  <c r="AC33" i="7"/>
  <c r="AH33" i="7"/>
  <c r="BA34" i="7"/>
  <c r="AV34" i="7"/>
  <c r="BB34" i="7"/>
  <c r="BM35" i="7"/>
  <c r="AC34" i="7"/>
  <c r="AH34" i="7"/>
  <c r="AI34" i="7"/>
  <c r="BA41" i="7"/>
  <c r="AV41" i="7"/>
  <c r="AW41" i="7" s="1"/>
  <c r="BB41" i="7"/>
  <c r="AT49" i="7"/>
  <c r="BM56" i="7"/>
  <c r="BM37" i="7"/>
  <c r="BA28" i="7"/>
  <c r="AV28" i="7"/>
  <c r="AW28" i="7" s="1"/>
  <c r="BB28" i="7"/>
  <c r="AH29" i="7"/>
  <c r="AI29" i="7"/>
  <c r="AC29" i="7"/>
  <c r="AH38" i="7"/>
  <c r="AI38" i="7"/>
  <c r="AC38" i="7"/>
  <c r="BA38" i="7"/>
  <c r="AV38" i="7"/>
  <c r="AW38" i="7" s="1"/>
  <c r="BB38" i="7"/>
  <c r="BT26" i="7"/>
  <c r="BU26" i="7"/>
  <c r="BO26" i="7"/>
  <c r="BP26" i="7" s="1"/>
  <c r="P26" i="7" s="1"/>
  <c r="BT37" i="7"/>
  <c r="BU37" i="7"/>
  <c r="BO37" i="7"/>
  <c r="BT28" i="7"/>
  <c r="BU28" i="7"/>
  <c r="BO28" i="7"/>
  <c r="BP28" i="7" s="1"/>
  <c r="AH28" i="7"/>
  <c r="AI28" i="7"/>
  <c r="AC28" i="7"/>
  <c r="BB26" i="7"/>
  <c r="BA26" i="7"/>
  <c r="AV26" i="7"/>
  <c r="AW26" i="7" s="1"/>
  <c r="AV39" i="7"/>
  <c r="BB39" i="7"/>
  <c r="BA39" i="7"/>
  <c r="BT35" i="7"/>
  <c r="BO35" i="7"/>
  <c r="BU35" i="7"/>
  <c r="AI51" i="7"/>
  <c r="AC51" i="7"/>
  <c r="AH51" i="7"/>
  <c r="BB43" i="7"/>
  <c r="BA43" i="7"/>
  <c r="AV43" i="7"/>
  <c r="AW43" i="7" s="1"/>
  <c r="AV49" i="7"/>
  <c r="BA49" i="7"/>
  <c r="BB49" i="7"/>
  <c r="AH26" i="7"/>
  <c r="AC26" i="7"/>
  <c r="AI26" i="7"/>
  <c r="BT56" i="7"/>
  <c r="BU56" i="7"/>
  <c r="BO56" i="7"/>
  <c r="AV19" i="7"/>
  <c r="BA19" i="7"/>
  <c r="BB19" i="7"/>
  <c r="BA45" i="7"/>
  <c r="AV45" i="7"/>
  <c r="AW45" i="7" s="1"/>
  <c r="BB45" i="7"/>
  <c r="AT34" i="7"/>
  <c r="AT39" i="7"/>
  <c r="AW39" i="7" s="1"/>
  <c r="BA37" i="7"/>
  <c r="AV37" i="7"/>
  <c r="AW37" i="7" s="1"/>
  <c r="BB37" i="7"/>
  <c r="M29" i="7"/>
  <c r="M40" i="7"/>
  <c r="M25" i="7"/>
  <c r="P13" i="7"/>
  <c r="P25" i="7"/>
  <c r="M24" i="7"/>
  <c r="P34" i="7"/>
  <c r="M33" i="7"/>
  <c r="P49" i="7"/>
  <c r="P58" i="7"/>
  <c r="M54" i="7"/>
  <c r="M53" i="7"/>
  <c r="M30" i="7"/>
  <c r="AT152" i="3"/>
  <c r="W632" i="6"/>
  <c r="AT175" i="3"/>
  <c r="W644" i="6"/>
  <c r="AT198" i="3"/>
  <c r="W656" i="6"/>
  <c r="AU149" i="3"/>
  <c r="AU151" i="3" s="1"/>
  <c r="AU147" i="3"/>
  <c r="AU150" i="3" s="1"/>
  <c r="AU195" i="3"/>
  <c r="AU197" i="3" s="1"/>
  <c r="AU194" i="3"/>
  <c r="AU193" i="3"/>
  <c r="AU196" i="3" s="1"/>
  <c r="AY135" i="3"/>
  <c r="AX139" i="3"/>
  <c r="AX140" i="3"/>
  <c r="AV145" i="3"/>
  <c r="AV146" i="3" s="1"/>
  <c r="AW167" i="3"/>
  <c r="AW165" i="3"/>
  <c r="AW166" i="3" s="1"/>
  <c r="AW142" i="3"/>
  <c r="AW143" i="3" s="1"/>
  <c r="AW144" i="3"/>
  <c r="AY158" i="3"/>
  <c r="AX163" i="3"/>
  <c r="AX162" i="3"/>
  <c r="AX185" i="3"/>
  <c r="AX186" i="3"/>
  <c r="AY181" i="3"/>
  <c r="AV168" i="3"/>
  <c r="AV169" i="3" s="1"/>
  <c r="AV191" i="3"/>
  <c r="AV192" i="3" s="1"/>
  <c r="AW190" i="3"/>
  <c r="AW188" i="3"/>
  <c r="AW189" i="3" s="1"/>
  <c r="AU172" i="3"/>
  <c r="AU174" i="3" s="1"/>
  <c r="AU171" i="3"/>
  <c r="AU170" i="3"/>
  <c r="AU173" i="3" s="1"/>
  <c r="H656" i="6"/>
  <c r="L656" i="6"/>
  <c r="I656" i="6"/>
  <c r="L644" i="6"/>
  <c r="J644" i="6"/>
  <c r="I644" i="6"/>
  <c r="K644" i="6"/>
  <c r="H644" i="6"/>
  <c r="I722" i="6"/>
  <c r="I724" i="6"/>
  <c r="DU153" i="7"/>
  <c r="I735" i="6"/>
  <c r="I733" i="6"/>
  <c r="I742" i="6"/>
  <c r="DU191" i="7"/>
  <c r="DZ118" i="7"/>
  <c r="EB118" i="7" s="1"/>
  <c r="EE118" i="7" s="1"/>
  <c r="DR92" i="7"/>
  <c r="DS92" i="7" s="1"/>
  <c r="DV92" i="7" s="1"/>
  <c r="EA92" i="7" s="1"/>
  <c r="EC92" i="7" s="1"/>
  <c r="DZ82" i="7"/>
  <c r="DR166" i="7"/>
  <c r="DS166" i="7" s="1"/>
  <c r="DV166" i="7" s="1"/>
  <c r="DW166" i="7" s="1"/>
  <c r="DZ64" i="7"/>
  <c r="DR64" i="7"/>
  <c r="DS64" i="7" s="1"/>
  <c r="DV64" i="7" s="1"/>
  <c r="DW64" i="7" s="1"/>
  <c r="AW32" i="3"/>
  <c r="AW33" i="3"/>
  <c r="AW31" i="3"/>
  <c r="AW34" i="3" s="1"/>
  <c r="BI73" i="3"/>
  <c r="BI74" i="3" s="1"/>
  <c r="BI75" i="3"/>
  <c r="Y39" i="3"/>
  <c r="AU35" i="3"/>
  <c r="Z39" i="3" s="1"/>
  <c r="X98" i="3"/>
  <c r="X87" i="3"/>
  <c r="BF52" i="3"/>
  <c r="BF50" i="3"/>
  <c r="BF51" i="3" s="1"/>
  <c r="Y56" i="3"/>
  <c r="AZ35" i="3"/>
  <c r="Y45" i="3"/>
  <c r="Y31" i="3"/>
  <c r="AN35" i="3"/>
  <c r="Z31" i="3" s="1"/>
  <c r="BD28" i="3"/>
  <c r="BD26" i="3"/>
  <c r="BD27" i="3" s="1"/>
  <c r="W33" i="3"/>
  <c r="AP36" i="3"/>
  <c r="X33" i="3" s="1"/>
  <c r="AQ36" i="3"/>
  <c r="X34" i="3" s="1"/>
  <c r="W34" i="3"/>
  <c r="Y34" i="3"/>
  <c r="AQ35" i="3"/>
  <c r="Z34" i="3" s="1"/>
  <c r="BI26" i="3"/>
  <c r="BI27" i="3" s="1"/>
  <c r="BI28" i="3"/>
  <c r="Y33" i="3"/>
  <c r="AP35" i="3"/>
  <c r="Z33" i="3" s="1"/>
  <c r="Z87" i="3"/>
  <c r="Z98" i="3"/>
  <c r="BG26" i="3"/>
  <c r="BG27" i="3" s="1"/>
  <c r="BG28" i="3"/>
  <c r="X88" i="3"/>
  <c r="X93" i="3"/>
  <c r="BF75" i="3"/>
  <c r="BF73" i="3"/>
  <c r="BF74" i="3" s="1"/>
  <c r="W46" i="3"/>
  <c r="W51" i="3"/>
  <c r="BA36" i="3"/>
  <c r="BA35" i="3"/>
  <c r="Y46" i="3"/>
  <c r="Y51" i="3"/>
  <c r="X66" i="3"/>
  <c r="X77" i="3"/>
  <c r="AV32" i="3"/>
  <c r="AV33" i="3"/>
  <c r="AV31" i="3"/>
  <c r="AV34" i="3" s="1"/>
  <c r="BI52" i="3"/>
  <c r="BI50" i="3"/>
  <c r="BI51" i="3" s="1"/>
  <c r="BF26" i="3"/>
  <c r="BF27" i="3" s="1"/>
  <c r="BF28" i="3"/>
  <c r="W37" i="3"/>
  <c r="AT36" i="3"/>
  <c r="X37" i="3" s="1"/>
  <c r="Y32" i="3"/>
  <c r="AO35" i="3"/>
  <c r="Z32" i="3" s="1"/>
  <c r="AZ36" i="3"/>
  <c r="W45" i="3"/>
  <c r="W56" i="3"/>
  <c r="Z93" i="3"/>
  <c r="Z88" i="3"/>
  <c r="W31" i="3"/>
  <c r="AN36" i="3"/>
  <c r="X31" i="3" s="1"/>
  <c r="W32" i="3"/>
  <c r="AO36" i="3"/>
  <c r="X32" i="3" s="1"/>
  <c r="BG50" i="3"/>
  <c r="BG51" i="3" s="1"/>
  <c r="BG52" i="3"/>
  <c r="BG73" i="3"/>
  <c r="BG74" i="3" s="1"/>
  <c r="BG75" i="3"/>
  <c r="AU36" i="3"/>
  <c r="X39" i="3" s="1"/>
  <c r="W39" i="3"/>
  <c r="AT35" i="3"/>
  <c r="Z37" i="3" s="1"/>
  <c r="Y37" i="3"/>
  <c r="DU166" i="7"/>
  <c r="DZ166" i="7"/>
  <c r="DR82" i="7"/>
  <c r="DS82" i="7" s="1"/>
  <c r="DV82" i="7" s="1"/>
  <c r="DT187" i="7"/>
  <c r="DR187" i="7"/>
  <c r="DS187" i="7" s="1"/>
  <c r="DV187" i="7" s="1"/>
  <c r="DR114" i="7"/>
  <c r="DS114" i="7" s="1"/>
  <c r="DV114" i="7" s="1"/>
  <c r="DT114" i="7"/>
  <c r="DT192" i="7"/>
  <c r="DR192" i="7"/>
  <c r="DS192" i="7" s="1"/>
  <c r="DV192" i="7" s="1"/>
  <c r="DR144" i="7"/>
  <c r="DS144" i="7" s="1"/>
  <c r="DV144" i="7" s="1"/>
  <c r="DT144" i="7"/>
  <c r="DR107" i="7"/>
  <c r="DS107" i="7" s="1"/>
  <c r="DV107" i="7" s="1"/>
  <c r="DT107" i="7"/>
  <c r="DO181" i="7"/>
  <c r="DP181" i="7" s="1"/>
  <c r="DQ181" i="7" s="1"/>
  <c r="DT184" i="7"/>
  <c r="DR184" i="7"/>
  <c r="DS184" i="7" s="1"/>
  <c r="DV184" i="7" s="1"/>
  <c r="DO145" i="7"/>
  <c r="DP145" i="7" s="1"/>
  <c r="DQ145" i="7" s="1"/>
  <c r="DO80" i="7"/>
  <c r="DP80" i="7" s="1"/>
  <c r="DQ80" i="7" s="1"/>
  <c r="DO135" i="7"/>
  <c r="DP135" i="7" s="1"/>
  <c r="DQ135" i="7" s="1"/>
  <c r="DT152" i="7"/>
  <c r="DR152" i="7"/>
  <c r="DS152" i="7" s="1"/>
  <c r="DV152" i="7" s="1"/>
  <c r="DZ102" i="7"/>
  <c r="DU102" i="7"/>
  <c r="DO183" i="7"/>
  <c r="DP183" i="7" s="1"/>
  <c r="DQ183" i="7" s="1"/>
  <c r="EA102" i="7"/>
  <c r="EC102" i="7" s="1"/>
  <c r="DW102" i="7"/>
  <c r="DO84" i="7"/>
  <c r="DP84" i="7" s="1"/>
  <c r="DQ84" i="7" s="1"/>
  <c r="DO141" i="7"/>
  <c r="DP141" i="7" s="1"/>
  <c r="DQ141" i="7" s="1"/>
  <c r="DO133" i="7"/>
  <c r="DP133" i="7" s="1"/>
  <c r="DQ133" i="7" s="1"/>
  <c r="DO174" i="7"/>
  <c r="DP174" i="7" s="1"/>
  <c r="DQ174" i="7" s="1"/>
  <c r="DO72" i="7"/>
  <c r="DP72" i="7" s="1"/>
  <c r="DQ72" i="7" s="1"/>
  <c r="DO202" i="7"/>
  <c r="DP202" i="7" s="1"/>
  <c r="DQ202" i="7" s="1"/>
  <c r="DR66" i="7"/>
  <c r="DS66" i="7" s="1"/>
  <c r="DV66" i="7" s="1"/>
  <c r="DT66" i="7"/>
  <c r="DT136" i="7"/>
  <c r="DR136" i="7"/>
  <c r="DS136" i="7" s="1"/>
  <c r="DV136" i="7" s="1"/>
  <c r="DR65" i="7"/>
  <c r="DS65" i="7" s="1"/>
  <c r="DV65" i="7" s="1"/>
  <c r="DT65" i="7"/>
  <c r="DR148" i="7"/>
  <c r="DS148" i="7" s="1"/>
  <c r="DV148" i="7" s="1"/>
  <c r="DT148" i="7"/>
  <c r="DT113" i="7"/>
  <c r="DR113" i="7"/>
  <c r="DS113" i="7" s="1"/>
  <c r="DV113" i="7" s="1"/>
  <c r="DR100" i="7"/>
  <c r="DS100" i="7" s="1"/>
  <c r="DV100" i="7" s="1"/>
  <c r="DT100" i="7"/>
  <c r="DT140" i="7"/>
  <c r="DR140" i="7"/>
  <c r="DS140" i="7" s="1"/>
  <c r="DV140" i="7" s="1"/>
  <c r="DR172" i="7"/>
  <c r="DS172" i="7" s="1"/>
  <c r="DV172" i="7" s="1"/>
  <c r="DT172" i="7"/>
  <c r="DR163" i="7"/>
  <c r="DS163" i="7" s="1"/>
  <c r="DV163" i="7" s="1"/>
  <c r="DT163" i="7"/>
  <c r="DR57" i="7"/>
  <c r="DS57" i="7" s="1"/>
  <c r="DV57" i="7" s="1"/>
  <c r="DT57" i="7"/>
  <c r="DT142" i="7"/>
  <c r="DR142" i="7"/>
  <c r="DS142" i="7" s="1"/>
  <c r="DV142" i="7" s="1"/>
  <c r="DR194" i="7"/>
  <c r="DS194" i="7" s="1"/>
  <c r="DV194" i="7" s="1"/>
  <c r="DT194" i="7"/>
  <c r="DR157" i="7"/>
  <c r="DS157" i="7" s="1"/>
  <c r="DV157" i="7" s="1"/>
  <c r="DT157" i="7"/>
  <c r="DT104" i="7"/>
  <c r="DR104" i="7"/>
  <c r="DS104" i="7" s="1"/>
  <c r="DV104" i="7" s="1"/>
  <c r="DT59" i="7"/>
  <c r="DR59" i="7"/>
  <c r="DS59" i="7" s="1"/>
  <c r="DV59" i="7" s="1"/>
  <c r="DR120" i="7"/>
  <c r="DS120" i="7" s="1"/>
  <c r="DV120" i="7" s="1"/>
  <c r="DT120" i="7"/>
  <c r="DT121" i="7"/>
  <c r="DR121" i="7"/>
  <c r="DS121" i="7" s="1"/>
  <c r="DV121" i="7" s="1"/>
  <c r="DT90" i="7"/>
  <c r="DR90" i="7"/>
  <c r="DS90" i="7" s="1"/>
  <c r="DV90" i="7" s="1"/>
  <c r="DR76" i="7"/>
  <c r="DS76" i="7" s="1"/>
  <c r="DV76" i="7" s="1"/>
  <c r="DT76" i="7"/>
  <c r="EB69" i="7"/>
  <c r="DW158" i="7"/>
  <c r="EA158" i="7"/>
  <c r="EC158" i="7" s="1"/>
  <c r="DU127" i="7"/>
  <c r="DZ127" i="7"/>
  <c r="DU196" i="7"/>
  <c r="DZ196" i="7"/>
  <c r="DW186" i="7"/>
  <c r="EA186" i="7"/>
  <c r="EC186" i="7" s="1"/>
  <c r="DR143" i="7"/>
  <c r="DS143" i="7" s="1"/>
  <c r="DV143" i="7" s="1"/>
  <c r="DT143" i="7"/>
  <c r="EB132" i="7"/>
  <c r="EE132" i="7" s="1"/>
  <c r="DU185" i="7"/>
  <c r="DZ185" i="7"/>
  <c r="EA109" i="7"/>
  <c r="EC109" i="7" s="1"/>
  <c r="DW109" i="7"/>
  <c r="EA119" i="7"/>
  <c r="EC119" i="7" s="1"/>
  <c r="DW119" i="7"/>
  <c r="DU178" i="7"/>
  <c r="DZ178" i="7"/>
  <c r="DW123" i="7"/>
  <c r="EA123" i="7"/>
  <c r="EC123" i="7" s="1"/>
  <c r="DU86" i="7"/>
  <c r="DZ86" i="7"/>
  <c r="DU93" i="7"/>
  <c r="DZ93" i="7"/>
  <c r="EA111" i="7"/>
  <c r="EC111" i="7" s="1"/>
  <c r="DW111" i="7"/>
  <c r="DU197" i="7"/>
  <c r="DZ197" i="7"/>
  <c r="EA161" i="7"/>
  <c r="EC161" i="7" s="1"/>
  <c r="DW161" i="7"/>
  <c r="DU188" i="7"/>
  <c r="DZ188" i="7"/>
  <c r="DO124" i="7"/>
  <c r="DP124" i="7" s="1"/>
  <c r="DQ124" i="7" s="1"/>
  <c r="DO79" i="7"/>
  <c r="DP79" i="7" s="1"/>
  <c r="DQ79" i="7" s="1"/>
  <c r="DO139" i="7"/>
  <c r="DP139" i="7" s="1"/>
  <c r="DQ139" i="7" s="1"/>
  <c r="DO130" i="7"/>
  <c r="DP130" i="7" s="1"/>
  <c r="DQ130" i="7" s="1"/>
  <c r="DO115" i="7"/>
  <c r="DP115" i="7" s="1"/>
  <c r="DQ115" i="7" s="1"/>
  <c r="DT147" i="7"/>
  <c r="DR147" i="7"/>
  <c r="DS147" i="7" s="1"/>
  <c r="DV147" i="7" s="1"/>
  <c r="DT149" i="7"/>
  <c r="DR149" i="7"/>
  <c r="DS149" i="7" s="1"/>
  <c r="DV149" i="7" s="1"/>
  <c r="DU158" i="7"/>
  <c r="DZ158" i="7"/>
  <c r="DW127" i="7"/>
  <c r="EA127" i="7"/>
  <c r="EC127" i="7" s="1"/>
  <c r="DZ103" i="7"/>
  <c r="DU103" i="7"/>
  <c r="EA131" i="7"/>
  <c r="EC131" i="7" s="1"/>
  <c r="DW131" i="7"/>
  <c r="EA125" i="7"/>
  <c r="EC125" i="7" s="1"/>
  <c r="DW125" i="7"/>
  <c r="EA177" i="7"/>
  <c r="EC177" i="7" s="1"/>
  <c r="DW177" i="7"/>
  <c r="EB62" i="7"/>
  <c r="EE62" i="7" s="1"/>
  <c r="DZ175" i="7"/>
  <c r="DU175" i="7"/>
  <c r="DR116" i="7"/>
  <c r="DS116" i="7" s="1"/>
  <c r="DV116" i="7" s="1"/>
  <c r="DT116" i="7"/>
  <c r="EB198" i="7"/>
  <c r="EF198" i="7" s="1"/>
  <c r="EI198" i="7" s="1"/>
  <c r="DT75" i="7"/>
  <c r="DR75" i="7"/>
  <c r="DS75" i="7" s="1"/>
  <c r="DV75" i="7" s="1"/>
  <c r="DU94" i="7"/>
  <c r="DZ94" i="7"/>
  <c r="DU119" i="7"/>
  <c r="DZ119" i="7"/>
  <c r="EA178" i="7"/>
  <c r="EC178" i="7" s="1"/>
  <c r="DW178" i="7"/>
  <c r="DR204" i="7"/>
  <c r="DS204" i="7" s="1"/>
  <c r="DV204" i="7" s="1"/>
  <c r="DT204" i="7"/>
  <c r="DU89" i="7"/>
  <c r="DZ89" i="7"/>
  <c r="DZ123" i="7"/>
  <c r="DU123" i="7"/>
  <c r="DW86" i="7"/>
  <c r="EA86" i="7"/>
  <c r="EC86" i="7" s="1"/>
  <c r="EA93" i="7"/>
  <c r="EC93" i="7" s="1"/>
  <c r="DW93" i="7"/>
  <c r="DZ111" i="7"/>
  <c r="DU111" i="7"/>
  <c r="EA197" i="7"/>
  <c r="EC197" i="7" s="1"/>
  <c r="DW197" i="7"/>
  <c r="DZ161" i="7"/>
  <c r="DU161" i="7"/>
  <c r="EA188" i="7"/>
  <c r="EC188" i="7" s="1"/>
  <c r="DW188" i="7"/>
  <c r="DO97" i="7"/>
  <c r="DP97" i="7" s="1"/>
  <c r="DQ97" i="7" s="1"/>
  <c r="DT105" i="7"/>
  <c r="DR105" i="7"/>
  <c r="DS105" i="7" s="1"/>
  <c r="DV105" i="7" s="1"/>
  <c r="EA99" i="7"/>
  <c r="EC99" i="7" s="1"/>
  <c r="DW99" i="7"/>
  <c r="DW171" i="7"/>
  <c r="EA171" i="7"/>
  <c r="EC171" i="7" s="1"/>
  <c r="DZ61" i="7"/>
  <c r="DU61" i="7"/>
  <c r="EA103" i="7"/>
  <c r="EC103" i="7" s="1"/>
  <c r="DW103" i="7"/>
  <c r="DZ131" i="7"/>
  <c r="DU131" i="7"/>
  <c r="DZ125" i="7"/>
  <c r="DU125" i="7"/>
  <c r="DZ177" i="7"/>
  <c r="DU177" i="7"/>
  <c r="EA175" i="7"/>
  <c r="EC175" i="7" s="1"/>
  <c r="DW175" i="7"/>
  <c r="DT78" i="7"/>
  <c r="DR78" i="7"/>
  <c r="DS78" i="7" s="1"/>
  <c r="DV78" i="7" s="1"/>
  <c r="EB96" i="7"/>
  <c r="EF96" i="7" s="1"/>
  <c r="EI96" i="7" s="1"/>
  <c r="EB98" i="7"/>
  <c r="EE98" i="7" s="1"/>
  <c r="EA117" i="7"/>
  <c r="EC117" i="7" s="1"/>
  <c r="DW117" i="7"/>
  <c r="DW180" i="7"/>
  <c r="EA180" i="7"/>
  <c r="EC180" i="7" s="1"/>
  <c r="DR190" i="7"/>
  <c r="DS190" i="7" s="1"/>
  <c r="DV190" i="7" s="1"/>
  <c r="DT190" i="7"/>
  <c r="EA94" i="7"/>
  <c r="EC94" i="7" s="1"/>
  <c r="DW94" i="7"/>
  <c r="DW110" i="7"/>
  <c r="EA110" i="7"/>
  <c r="EC110" i="7" s="1"/>
  <c r="EA189" i="7"/>
  <c r="EC189" i="7" s="1"/>
  <c r="DW189" i="7"/>
  <c r="EB199" i="7"/>
  <c r="EF199" i="7" s="1"/>
  <c r="EI199" i="7" s="1"/>
  <c r="EA89" i="7"/>
  <c r="EC89" i="7" s="1"/>
  <c r="DW89" i="7"/>
  <c r="EB159" i="7"/>
  <c r="EE159" i="7" s="1"/>
  <c r="DZ81" i="7"/>
  <c r="DU81" i="7"/>
  <c r="DW58" i="7"/>
  <c r="EA58" i="7"/>
  <c r="EC58" i="7" s="1"/>
  <c r="EA154" i="7"/>
  <c r="EC154" i="7" s="1"/>
  <c r="DW154" i="7"/>
  <c r="DU129" i="7"/>
  <c r="DZ129" i="7"/>
  <c r="EA138" i="7"/>
  <c r="EC138" i="7" s="1"/>
  <c r="DW138" i="7"/>
  <c r="EA146" i="7"/>
  <c r="EC146" i="7" s="1"/>
  <c r="DW146" i="7"/>
  <c r="DW179" i="7"/>
  <c r="EA179" i="7"/>
  <c r="EC179" i="7" s="1"/>
  <c r="DT137" i="7"/>
  <c r="DR137" i="7"/>
  <c r="DS137" i="7" s="1"/>
  <c r="DV137" i="7" s="1"/>
  <c r="DT150" i="7"/>
  <c r="DR150" i="7"/>
  <c r="DS150" i="7" s="1"/>
  <c r="DV150" i="7" s="1"/>
  <c r="DZ99" i="7"/>
  <c r="DU99" i="7"/>
  <c r="DU171" i="7"/>
  <c r="DZ171" i="7"/>
  <c r="EB162" i="7"/>
  <c r="EE162" i="7" s="1"/>
  <c r="EA61" i="7"/>
  <c r="EC61" i="7" s="1"/>
  <c r="DW61" i="7"/>
  <c r="DR193" i="7"/>
  <c r="DS193" i="7" s="1"/>
  <c r="DV193" i="7" s="1"/>
  <c r="DT193" i="7"/>
  <c r="DW91" i="7"/>
  <c r="EA91" i="7"/>
  <c r="EC91" i="7" s="1"/>
  <c r="EA88" i="7"/>
  <c r="EC88" i="7" s="1"/>
  <c r="DW88" i="7"/>
  <c r="DR156" i="7"/>
  <c r="DS156" i="7" s="1"/>
  <c r="DV156" i="7" s="1"/>
  <c r="DT156" i="7"/>
  <c r="DZ117" i="7"/>
  <c r="DU117" i="7"/>
  <c r="DU180" i="7"/>
  <c r="DZ180" i="7"/>
  <c r="DR195" i="7"/>
  <c r="DS195" i="7" s="1"/>
  <c r="DV195" i="7" s="1"/>
  <c r="DT195" i="7"/>
  <c r="DU110" i="7"/>
  <c r="DZ110" i="7"/>
  <c r="DZ189" i="7"/>
  <c r="DU189" i="7"/>
  <c r="DT108" i="7"/>
  <c r="DR108" i="7"/>
  <c r="DS108" i="7" s="1"/>
  <c r="DV108" i="7" s="1"/>
  <c r="DW81" i="7"/>
  <c r="EA81" i="7"/>
  <c r="EC81" i="7" s="1"/>
  <c r="DU58" i="7"/>
  <c r="DZ58" i="7"/>
  <c r="DZ154" i="7"/>
  <c r="DU154" i="7"/>
  <c r="EA129" i="7"/>
  <c r="EC129" i="7" s="1"/>
  <c r="DW129" i="7"/>
  <c r="DZ138" i="7"/>
  <c r="DU138" i="7"/>
  <c r="DZ146" i="7"/>
  <c r="DU146" i="7"/>
  <c r="DU179" i="7"/>
  <c r="DZ179" i="7"/>
  <c r="DO122" i="7"/>
  <c r="DP122" i="7" s="1"/>
  <c r="DQ122" i="7" s="1"/>
  <c r="EF168" i="7"/>
  <c r="EI168" i="7" s="1"/>
  <c r="DT83" i="7"/>
  <c r="DR83" i="7"/>
  <c r="DS83" i="7" s="1"/>
  <c r="DV83" i="7" s="1"/>
  <c r="DR67" i="7"/>
  <c r="DS67" i="7" s="1"/>
  <c r="DV67" i="7" s="1"/>
  <c r="DT67" i="7"/>
  <c r="EB191" i="7"/>
  <c r="EF191" i="7" s="1"/>
  <c r="EI191" i="7" s="1"/>
  <c r="EB169" i="7"/>
  <c r="ED169" i="7" s="1"/>
  <c r="DU167" i="7"/>
  <c r="DZ167" i="7"/>
  <c r="DU170" i="7"/>
  <c r="DZ170" i="7"/>
  <c r="DT151" i="7"/>
  <c r="DR151" i="7"/>
  <c r="DS151" i="7" s="1"/>
  <c r="DV151" i="7" s="1"/>
  <c r="DU91" i="7"/>
  <c r="DZ91" i="7"/>
  <c r="DZ88" i="7"/>
  <c r="DU88" i="7"/>
  <c r="DT85" i="7"/>
  <c r="DR85" i="7"/>
  <c r="DS85" i="7" s="1"/>
  <c r="DV85" i="7" s="1"/>
  <c r="DZ92" i="7"/>
  <c r="DU92" i="7"/>
  <c r="DU200" i="7"/>
  <c r="DZ200" i="7"/>
  <c r="DW206" i="7"/>
  <c r="EA206" i="7"/>
  <c r="EC206" i="7" s="1"/>
  <c r="DU95" i="7"/>
  <c r="DZ95" i="7"/>
  <c r="DU201" i="7"/>
  <c r="DZ201" i="7"/>
  <c r="DR71" i="7"/>
  <c r="DS71" i="7" s="1"/>
  <c r="DV71" i="7" s="1"/>
  <c r="DT71" i="7"/>
  <c r="EB112" i="7"/>
  <c r="EE112" i="7" s="1"/>
  <c r="DZ63" i="7"/>
  <c r="DU63" i="7"/>
  <c r="DR205" i="7"/>
  <c r="DS205" i="7" s="1"/>
  <c r="DV205" i="7" s="1"/>
  <c r="DT205" i="7"/>
  <c r="DR77" i="7"/>
  <c r="DS77" i="7" s="1"/>
  <c r="DV77" i="7" s="1"/>
  <c r="DT77" i="7"/>
  <c r="EB128" i="7"/>
  <c r="EF128" i="7" s="1"/>
  <c r="EI128" i="7" s="1"/>
  <c r="EB87" i="7"/>
  <c r="ED87" i="7" s="1"/>
  <c r="DU106" i="7"/>
  <c r="DZ106" i="7"/>
  <c r="DZ164" i="7"/>
  <c r="DU164" i="7"/>
  <c r="DW173" i="7"/>
  <c r="EA173" i="7"/>
  <c r="EC173" i="7" s="1"/>
  <c r="DW73" i="7"/>
  <c r="EA73" i="7"/>
  <c r="EC73" i="7" s="1"/>
  <c r="DZ182" i="7"/>
  <c r="DU182" i="7"/>
  <c r="DW203" i="7"/>
  <c r="EA203" i="7"/>
  <c r="EC203" i="7" s="1"/>
  <c r="DO74" i="7"/>
  <c r="DP74" i="7" s="1"/>
  <c r="DQ74" i="7" s="1"/>
  <c r="ED168" i="7"/>
  <c r="DR126" i="7"/>
  <c r="DS126" i="7" s="1"/>
  <c r="DV126" i="7" s="1"/>
  <c r="DT126" i="7"/>
  <c r="DR176" i="7"/>
  <c r="DS176" i="7" s="1"/>
  <c r="DV176" i="7" s="1"/>
  <c r="DT176" i="7"/>
  <c r="EB70" i="7"/>
  <c r="EE70" i="7" s="1"/>
  <c r="DW167" i="7"/>
  <c r="EA167" i="7"/>
  <c r="EC167" i="7" s="1"/>
  <c r="EA170" i="7"/>
  <c r="EC170" i="7" s="1"/>
  <c r="DW170" i="7"/>
  <c r="DT165" i="7"/>
  <c r="DR165" i="7"/>
  <c r="DS165" i="7" s="1"/>
  <c r="DV165" i="7" s="1"/>
  <c r="EB160" i="7"/>
  <c r="EF160" i="7" s="1"/>
  <c r="EI160" i="7" s="1"/>
  <c r="DW196" i="7"/>
  <c r="EA196" i="7"/>
  <c r="EC196" i="7" s="1"/>
  <c r="DU186" i="7"/>
  <c r="DZ186" i="7"/>
  <c r="EB155" i="7"/>
  <c r="EE155" i="7" s="1"/>
  <c r="DR101" i="7"/>
  <c r="DS101" i="7" s="1"/>
  <c r="DV101" i="7" s="1"/>
  <c r="DT101" i="7"/>
  <c r="DR60" i="7"/>
  <c r="DS60" i="7" s="1"/>
  <c r="DV60" i="7" s="1"/>
  <c r="DT60" i="7"/>
  <c r="EA200" i="7"/>
  <c r="EC200" i="7" s="1"/>
  <c r="DW200" i="7"/>
  <c r="DZ206" i="7"/>
  <c r="DU206" i="7"/>
  <c r="EB153" i="7"/>
  <c r="ED153" i="7" s="1"/>
  <c r="EA95" i="7"/>
  <c r="EC95" i="7" s="1"/>
  <c r="DW95" i="7"/>
  <c r="DW201" i="7"/>
  <c r="EA201" i="7"/>
  <c r="EC201" i="7" s="1"/>
  <c r="EA185" i="7"/>
  <c r="EC185" i="7" s="1"/>
  <c r="DW185" i="7"/>
  <c r="DZ109" i="7"/>
  <c r="DU109" i="7"/>
  <c r="EA63" i="7"/>
  <c r="EC63" i="7" s="1"/>
  <c r="DW63" i="7"/>
  <c r="EB68" i="7"/>
  <c r="ED68" i="7" s="1"/>
  <c r="EA106" i="7"/>
  <c r="EC106" i="7" s="1"/>
  <c r="DW106" i="7"/>
  <c r="EA164" i="7"/>
  <c r="EC164" i="7" s="1"/>
  <c r="DW164" i="7"/>
  <c r="DU173" i="7"/>
  <c r="DZ173" i="7"/>
  <c r="DU73" i="7"/>
  <c r="DZ73" i="7"/>
  <c r="DW182" i="7"/>
  <c r="EA182" i="7"/>
  <c r="EC182" i="7" s="1"/>
  <c r="DZ203" i="7"/>
  <c r="DU203" i="7"/>
  <c r="DO134" i="7"/>
  <c r="DP134" i="7" s="1"/>
  <c r="DQ134" i="7" s="1"/>
  <c r="Z67" i="3" l="1"/>
  <c r="BD75" i="3"/>
  <c r="BD76" i="3" s="1"/>
  <c r="BD77" i="3" s="1"/>
  <c r="BD52" i="3"/>
  <c r="BD53" i="3" s="1"/>
  <c r="BD54" i="3" s="1"/>
  <c r="I731" i="6"/>
  <c r="X67" i="3"/>
  <c r="Z66" i="3"/>
  <c r="AW34" i="7"/>
  <c r="M34" i="7" s="1"/>
  <c r="BP35" i="7"/>
  <c r="P35" i="7" s="1"/>
  <c r="AW49" i="7"/>
  <c r="M49" i="7" s="1"/>
  <c r="BP56" i="7"/>
  <c r="P56" i="7" s="1"/>
  <c r="BP37" i="7"/>
  <c r="P37" i="7" s="1"/>
  <c r="M26" i="7"/>
  <c r="M28" i="7"/>
  <c r="M45" i="7"/>
  <c r="M43" i="7"/>
  <c r="M38" i="7"/>
  <c r="M41" i="7"/>
  <c r="M37" i="7"/>
  <c r="M39" i="7"/>
  <c r="P28" i="7"/>
  <c r="AU152" i="3"/>
  <c r="X632" i="6"/>
  <c r="AU175" i="3"/>
  <c r="X644" i="6"/>
  <c r="AU198" i="3"/>
  <c r="X656" i="6"/>
  <c r="AW191" i="3"/>
  <c r="AW192" i="3" s="1"/>
  <c r="AW193" i="3" s="1"/>
  <c r="AW196" i="3" s="1"/>
  <c r="AW168" i="3"/>
  <c r="AW169" i="3" s="1"/>
  <c r="AW171" i="3" s="1"/>
  <c r="AW145" i="3"/>
  <c r="AW146" i="3" s="1"/>
  <c r="AX188" i="3"/>
  <c r="AX189" i="3" s="1"/>
  <c r="AX190" i="3"/>
  <c r="AY162" i="3"/>
  <c r="AZ158" i="3"/>
  <c r="AY163" i="3"/>
  <c r="AZ135" i="3"/>
  <c r="AY140" i="3"/>
  <c r="AY139" i="3"/>
  <c r="AV195" i="3"/>
  <c r="AV197" i="3" s="1"/>
  <c r="AV193" i="3"/>
  <c r="AV196" i="3" s="1"/>
  <c r="AV194" i="3"/>
  <c r="AV149" i="3"/>
  <c r="AV151" i="3" s="1"/>
  <c r="AV148" i="3"/>
  <c r="AV147" i="3"/>
  <c r="AV150" i="3" s="1"/>
  <c r="AV171" i="3"/>
  <c r="AV172" i="3"/>
  <c r="AV174" i="3" s="1"/>
  <c r="AV170" i="3"/>
  <c r="AV173" i="3" s="1"/>
  <c r="AX142" i="3"/>
  <c r="AX143" i="3" s="1"/>
  <c r="AX144" i="3"/>
  <c r="AY185" i="3"/>
  <c r="AY186" i="3"/>
  <c r="AZ181" i="3"/>
  <c r="AX165" i="3"/>
  <c r="AX166" i="3" s="1"/>
  <c r="AX167" i="3"/>
  <c r="J656" i="6"/>
  <c r="K656" i="6"/>
  <c r="I720" i="6"/>
  <c r="EB64" i="7"/>
  <c r="EE64" i="7" s="1"/>
  <c r="DW92" i="7"/>
  <c r="EB82" i="7"/>
  <c r="EE82" i="7" s="1"/>
  <c r="EA166" i="7"/>
  <c r="EC166" i="7" s="1"/>
  <c r="EA64" i="7"/>
  <c r="EC64" i="7" s="1"/>
  <c r="BF29" i="3"/>
  <c r="BF30" i="3" s="1"/>
  <c r="BG76" i="3"/>
  <c r="BG77" i="3" s="1"/>
  <c r="BI76" i="3"/>
  <c r="BI77" i="3" s="1"/>
  <c r="BG53" i="3"/>
  <c r="BG54" i="3" s="1"/>
  <c r="BI29" i="3"/>
  <c r="BI30" i="3" s="1"/>
  <c r="BG29" i="3"/>
  <c r="BG30" i="3" s="1"/>
  <c r="Y40" i="3"/>
  <c r="AV35" i="3"/>
  <c r="Z40" i="3" s="1"/>
  <c r="X45" i="3"/>
  <c r="X56" i="3"/>
  <c r="BF53" i="3"/>
  <c r="BF54" i="3" s="1"/>
  <c r="Z51" i="3"/>
  <c r="Z46" i="3"/>
  <c r="AW36" i="3"/>
  <c r="X41" i="3" s="1"/>
  <c r="W41" i="3"/>
  <c r="AV36" i="3"/>
  <c r="X40" i="3" s="1"/>
  <c r="W40" i="3"/>
  <c r="BF76" i="3"/>
  <c r="BF77" i="3" s="1"/>
  <c r="Z56" i="3"/>
  <c r="Z45" i="3"/>
  <c r="AW35" i="3"/>
  <c r="Z41" i="3" s="1"/>
  <c r="Y41" i="3"/>
  <c r="X51" i="3"/>
  <c r="X46" i="3"/>
  <c r="BI53" i="3"/>
  <c r="BI54" i="3" s="1"/>
  <c r="BD29" i="3"/>
  <c r="BD30" i="3" s="1"/>
  <c r="EB166" i="7"/>
  <c r="DW82" i="7"/>
  <c r="EA82" i="7"/>
  <c r="EC82" i="7" s="1"/>
  <c r="EA187" i="7"/>
  <c r="EC187" i="7" s="1"/>
  <c r="DW187" i="7"/>
  <c r="DU187" i="7"/>
  <c r="DZ187" i="7"/>
  <c r="DZ114" i="7"/>
  <c r="DU114" i="7"/>
  <c r="DW114" i="7"/>
  <c r="EA114" i="7"/>
  <c r="EC114" i="7" s="1"/>
  <c r="EA192" i="7"/>
  <c r="EC192" i="7" s="1"/>
  <c r="DW192" i="7"/>
  <c r="DZ192" i="7"/>
  <c r="DU192" i="7"/>
  <c r="DT181" i="7"/>
  <c r="DZ181" i="7" s="1"/>
  <c r="DR181" i="7"/>
  <c r="DS181" i="7" s="1"/>
  <c r="DV181" i="7" s="1"/>
  <c r="DW181" i="7" s="1"/>
  <c r="DW107" i="7"/>
  <c r="EA107" i="7"/>
  <c r="EC107" i="7" s="1"/>
  <c r="DZ107" i="7"/>
  <c r="EB107" i="7" s="1"/>
  <c r="EE107" i="7" s="1"/>
  <c r="DU107" i="7"/>
  <c r="DZ144" i="7"/>
  <c r="DU144" i="7"/>
  <c r="DW144" i="7"/>
  <c r="EA144" i="7"/>
  <c r="EC144" i="7" s="1"/>
  <c r="DZ184" i="7"/>
  <c r="DU184" i="7"/>
  <c r="DW184" i="7"/>
  <c r="EA184" i="7"/>
  <c r="EC184" i="7" s="1"/>
  <c r="EG168" i="7"/>
  <c r="EH168" i="7" s="1"/>
  <c r="EJ168" i="7" s="1"/>
  <c r="EF159" i="7"/>
  <c r="EI159" i="7" s="1"/>
  <c r="ED191" i="7"/>
  <c r="EG191" i="7" s="1"/>
  <c r="EH191" i="7" s="1"/>
  <c r="ED62" i="7"/>
  <c r="EE160" i="7"/>
  <c r="EF155" i="7"/>
  <c r="EI155" i="7" s="1"/>
  <c r="EF112" i="7"/>
  <c r="EI112" i="7" s="1"/>
  <c r="EF68" i="7"/>
  <c r="EI68" i="7" s="1"/>
  <c r="EF169" i="7"/>
  <c r="EI169" i="7" s="1"/>
  <c r="EE128" i="7"/>
  <c r="EE191" i="7"/>
  <c r="DR202" i="7"/>
  <c r="DS202" i="7" s="1"/>
  <c r="DV202" i="7" s="1"/>
  <c r="DT202" i="7"/>
  <c r="DZ152" i="7"/>
  <c r="DU152" i="7"/>
  <c r="EE153" i="7"/>
  <c r="ED128" i="7"/>
  <c r="EG128" i="7" s="1"/>
  <c r="EH128" i="7" s="1"/>
  <c r="EB102" i="7"/>
  <c r="EF153" i="7"/>
  <c r="EI153" i="7" s="1"/>
  <c r="EF70" i="7"/>
  <c r="EI70" i="7" s="1"/>
  <c r="EF162" i="7"/>
  <c r="EI162" i="7" s="1"/>
  <c r="EF98" i="7"/>
  <c r="EI98" i="7" s="1"/>
  <c r="DW152" i="7"/>
  <c r="EA152" i="7"/>
  <c r="EC152" i="7" s="1"/>
  <c r="EF87" i="7"/>
  <c r="EI87" i="7" s="1"/>
  <c r="ED162" i="7"/>
  <c r="ED98" i="7"/>
  <c r="DT74" i="7"/>
  <c r="DR74" i="7"/>
  <c r="DS74" i="7" s="1"/>
  <c r="DV74" i="7" s="1"/>
  <c r="DR134" i="7"/>
  <c r="DS134" i="7" s="1"/>
  <c r="DV134" i="7" s="1"/>
  <c r="DT134" i="7"/>
  <c r="DR122" i="7"/>
  <c r="DS122" i="7" s="1"/>
  <c r="DV122" i="7" s="1"/>
  <c r="DT122" i="7"/>
  <c r="DT141" i="7"/>
  <c r="DR141" i="7"/>
  <c r="DS141" i="7" s="1"/>
  <c r="DV141" i="7" s="1"/>
  <c r="DT124" i="7"/>
  <c r="DR124" i="7"/>
  <c r="DS124" i="7" s="1"/>
  <c r="DV124" i="7" s="1"/>
  <c r="DZ101" i="7"/>
  <c r="DU101" i="7"/>
  <c r="EA126" i="7"/>
  <c r="EC126" i="7" s="1"/>
  <c r="DW126" i="7"/>
  <c r="EB106" i="7"/>
  <c r="DZ77" i="7"/>
  <c r="DU77" i="7"/>
  <c r="EB201" i="7"/>
  <c r="ED201" i="7" s="1"/>
  <c r="EB200" i="7"/>
  <c r="EB170" i="7"/>
  <c r="EE170" i="7" s="1"/>
  <c r="EB179" i="7"/>
  <c r="EF179" i="7" s="1"/>
  <c r="EI179" i="7" s="1"/>
  <c r="EB110" i="7"/>
  <c r="EE110" i="7" s="1"/>
  <c r="EB180" i="7"/>
  <c r="ED180" i="7" s="1"/>
  <c r="EB171" i="7"/>
  <c r="EE171" i="7" s="1"/>
  <c r="EA137" i="7"/>
  <c r="EC137" i="7" s="1"/>
  <c r="DW137" i="7"/>
  <c r="DW78" i="7"/>
  <c r="EA78" i="7"/>
  <c r="EC78" i="7" s="1"/>
  <c r="EA105" i="7"/>
  <c r="EC105" i="7" s="1"/>
  <c r="DW105" i="7"/>
  <c r="DR174" i="7"/>
  <c r="DS174" i="7" s="1"/>
  <c r="DV174" i="7" s="1"/>
  <c r="DT174" i="7"/>
  <c r="DU204" i="7"/>
  <c r="DZ204" i="7"/>
  <c r="EB94" i="7"/>
  <c r="EF94" i="7" s="1"/>
  <c r="EI94" i="7" s="1"/>
  <c r="EB103" i="7"/>
  <c r="ED103" i="7" s="1"/>
  <c r="DW147" i="7"/>
  <c r="EA147" i="7"/>
  <c r="EC147" i="7" s="1"/>
  <c r="EB197" i="7"/>
  <c r="EF197" i="7" s="1"/>
  <c r="EI197" i="7" s="1"/>
  <c r="EB86" i="7"/>
  <c r="ED86" i="7" s="1"/>
  <c r="EA76" i="7"/>
  <c r="EC76" i="7" s="1"/>
  <c r="DW76" i="7"/>
  <c r="DW120" i="7"/>
  <c r="EA120" i="7"/>
  <c r="EC120" i="7" s="1"/>
  <c r="DW157" i="7"/>
  <c r="EA157" i="7"/>
  <c r="EC157" i="7" s="1"/>
  <c r="EA57" i="7"/>
  <c r="EC57" i="7" s="1"/>
  <c r="DW57" i="7"/>
  <c r="DU140" i="7"/>
  <c r="DZ140" i="7"/>
  <c r="EA148" i="7"/>
  <c r="EC148" i="7" s="1"/>
  <c r="DW148" i="7"/>
  <c r="EA66" i="7"/>
  <c r="EC66" i="7" s="1"/>
  <c r="DW66" i="7"/>
  <c r="EE68" i="7"/>
  <c r="ED155" i="7"/>
  <c r="EE87" i="7"/>
  <c r="ED198" i="7"/>
  <c r="EG198" i="7" s="1"/>
  <c r="EH198" i="7" s="1"/>
  <c r="DT79" i="7"/>
  <c r="DR79" i="7"/>
  <c r="DS79" i="7" s="1"/>
  <c r="DV79" i="7" s="1"/>
  <c r="EB109" i="7"/>
  <c r="EE109" i="7" s="1"/>
  <c r="EB206" i="7"/>
  <c r="ED206" i="7" s="1"/>
  <c r="EA60" i="7"/>
  <c r="EC60" i="7" s="1"/>
  <c r="DW60" i="7"/>
  <c r="DU165" i="7"/>
  <c r="DZ165" i="7"/>
  <c r="DU126" i="7"/>
  <c r="DZ126" i="7"/>
  <c r="EB182" i="7"/>
  <c r="ED182" i="7" s="1"/>
  <c r="EB164" i="7"/>
  <c r="ED164" i="7" s="1"/>
  <c r="EA71" i="7"/>
  <c r="EC71" i="7" s="1"/>
  <c r="DW71" i="7"/>
  <c r="DU85" i="7"/>
  <c r="DZ85" i="7"/>
  <c r="DU151" i="7"/>
  <c r="DZ151" i="7"/>
  <c r="DZ83" i="7"/>
  <c r="DU83" i="7"/>
  <c r="EB138" i="7"/>
  <c r="EF138" i="7" s="1"/>
  <c r="EI138" i="7" s="1"/>
  <c r="EB189" i="7"/>
  <c r="ED189" i="7" s="1"/>
  <c r="DW195" i="7"/>
  <c r="EA195" i="7"/>
  <c r="EC195" i="7" s="1"/>
  <c r="DW156" i="7"/>
  <c r="EA156" i="7"/>
  <c r="EC156" i="7" s="1"/>
  <c r="EA193" i="7"/>
  <c r="EC193" i="7" s="1"/>
  <c r="DW193" i="7"/>
  <c r="DZ150" i="7"/>
  <c r="DU150" i="7"/>
  <c r="DT97" i="7"/>
  <c r="DR97" i="7"/>
  <c r="DS97" i="7" s="1"/>
  <c r="DV97" i="7" s="1"/>
  <c r="EB177" i="7"/>
  <c r="EE177" i="7" s="1"/>
  <c r="DR72" i="7"/>
  <c r="DS72" i="7" s="1"/>
  <c r="DV72" i="7" s="1"/>
  <c r="DT72" i="7"/>
  <c r="EB161" i="7"/>
  <c r="EB175" i="7"/>
  <c r="EF175" i="7" s="1"/>
  <c r="EI175" i="7" s="1"/>
  <c r="DU149" i="7"/>
  <c r="DZ149" i="7"/>
  <c r="DT135" i="7"/>
  <c r="DR135" i="7"/>
  <c r="DS135" i="7" s="1"/>
  <c r="DV135" i="7" s="1"/>
  <c r="DU76" i="7"/>
  <c r="DZ76" i="7"/>
  <c r="DU120" i="7"/>
  <c r="DZ120" i="7"/>
  <c r="DZ157" i="7"/>
  <c r="DU157" i="7"/>
  <c r="DZ57" i="7"/>
  <c r="DU57" i="7"/>
  <c r="DW140" i="7"/>
  <c r="EA140" i="7"/>
  <c r="EC140" i="7" s="1"/>
  <c r="DZ148" i="7"/>
  <c r="DU148" i="7"/>
  <c r="DZ66" i="7"/>
  <c r="DU66" i="7"/>
  <c r="EE96" i="7"/>
  <c r="EB203" i="7"/>
  <c r="EF203" i="7" s="1"/>
  <c r="EI203" i="7" s="1"/>
  <c r="DZ60" i="7"/>
  <c r="DU60" i="7"/>
  <c r="DW165" i="7"/>
  <c r="EA165" i="7"/>
  <c r="EC165" i="7" s="1"/>
  <c r="EA176" i="7"/>
  <c r="EC176" i="7" s="1"/>
  <c r="DW176" i="7"/>
  <c r="EB63" i="7"/>
  <c r="ED63" i="7" s="1"/>
  <c r="DU71" i="7"/>
  <c r="DZ71" i="7"/>
  <c r="DW85" i="7"/>
  <c r="EA85" i="7"/>
  <c r="EC85" i="7" s="1"/>
  <c r="EA151" i="7"/>
  <c r="EC151" i="7" s="1"/>
  <c r="DW151" i="7"/>
  <c r="EA83" i="7"/>
  <c r="EC83" i="7" s="1"/>
  <c r="DW83" i="7"/>
  <c r="EB58" i="7"/>
  <c r="EF58" i="7" s="1"/>
  <c r="EI58" i="7" s="1"/>
  <c r="DU195" i="7"/>
  <c r="DZ195" i="7"/>
  <c r="DU156" i="7"/>
  <c r="DZ156" i="7"/>
  <c r="DU193" i="7"/>
  <c r="DZ193" i="7"/>
  <c r="EA150" i="7"/>
  <c r="EC150" i="7" s="1"/>
  <c r="DW150" i="7"/>
  <c r="EA190" i="7"/>
  <c r="EC190" i="7" s="1"/>
  <c r="DW190" i="7"/>
  <c r="EB89" i="7"/>
  <c r="ED89" i="7" s="1"/>
  <c r="EB119" i="7"/>
  <c r="EF119" i="7" s="1"/>
  <c r="EI119" i="7" s="1"/>
  <c r="EA149" i="7"/>
  <c r="EC149" i="7" s="1"/>
  <c r="DW149" i="7"/>
  <c r="EB93" i="7"/>
  <c r="ED93" i="7" s="1"/>
  <c r="EB178" i="7"/>
  <c r="EF178" i="7" s="1"/>
  <c r="EI178" i="7" s="1"/>
  <c r="DW143" i="7"/>
  <c r="EA143" i="7"/>
  <c r="EC143" i="7" s="1"/>
  <c r="DZ121" i="7"/>
  <c r="DU121" i="7"/>
  <c r="DU104" i="7"/>
  <c r="DZ104" i="7"/>
  <c r="DZ142" i="7"/>
  <c r="DU142" i="7"/>
  <c r="DW172" i="7"/>
  <c r="EA172" i="7"/>
  <c r="EC172" i="7" s="1"/>
  <c r="DZ113" i="7"/>
  <c r="DU113" i="7"/>
  <c r="DU136" i="7"/>
  <c r="DZ136" i="7"/>
  <c r="ED96" i="7"/>
  <c r="EG96" i="7" s="1"/>
  <c r="EH96" i="7" s="1"/>
  <c r="EE69" i="7"/>
  <c r="DT139" i="7"/>
  <c r="DR139" i="7"/>
  <c r="DS139" i="7" s="1"/>
  <c r="DV139" i="7" s="1"/>
  <c r="EB173" i="7"/>
  <c r="EE173" i="7" s="1"/>
  <c r="DZ176" i="7"/>
  <c r="DU176" i="7"/>
  <c r="DT80" i="7"/>
  <c r="DR80" i="7"/>
  <c r="DS80" i="7" s="1"/>
  <c r="DV80" i="7" s="1"/>
  <c r="EA205" i="7"/>
  <c r="EC205" i="7" s="1"/>
  <c r="DW205" i="7"/>
  <c r="EB92" i="7"/>
  <c r="ED92" i="7" s="1"/>
  <c r="EA67" i="7"/>
  <c r="EC67" i="7" s="1"/>
  <c r="DW67" i="7"/>
  <c r="DR183" i="7"/>
  <c r="DS183" i="7" s="1"/>
  <c r="DV183" i="7" s="1"/>
  <c r="DT183" i="7"/>
  <c r="EB146" i="7"/>
  <c r="ED146" i="7" s="1"/>
  <c r="EB154" i="7"/>
  <c r="EE154" i="7" s="1"/>
  <c r="DU108" i="7"/>
  <c r="DZ108" i="7"/>
  <c r="EB117" i="7"/>
  <c r="EE117" i="7" s="1"/>
  <c r="EB99" i="7"/>
  <c r="EE99" i="7" s="1"/>
  <c r="EB81" i="7"/>
  <c r="ED81" i="7" s="1"/>
  <c r="DU190" i="7"/>
  <c r="DZ190" i="7"/>
  <c r="EB131" i="7"/>
  <c r="ED131" i="7" s="1"/>
  <c r="DT130" i="7"/>
  <c r="DR130" i="7"/>
  <c r="DS130" i="7" s="1"/>
  <c r="DV130" i="7" s="1"/>
  <c r="EB111" i="7"/>
  <c r="ED111" i="7" s="1"/>
  <c r="EB123" i="7"/>
  <c r="EF123" i="7" s="1"/>
  <c r="EI123" i="7" s="1"/>
  <c r="DU75" i="7"/>
  <c r="DZ75" i="7"/>
  <c r="EA116" i="7"/>
  <c r="EC116" i="7" s="1"/>
  <c r="DW116" i="7"/>
  <c r="EB158" i="7"/>
  <c r="EE158" i="7" s="1"/>
  <c r="DT145" i="7"/>
  <c r="DR145" i="7"/>
  <c r="DS145" i="7" s="1"/>
  <c r="DV145" i="7" s="1"/>
  <c r="EB185" i="7"/>
  <c r="EF185" i="7" s="1"/>
  <c r="EI185" i="7" s="1"/>
  <c r="DZ143" i="7"/>
  <c r="DU143" i="7"/>
  <c r="EA121" i="7"/>
  <c r="EC121" i="7" s="1"/>
  <c r="DW121" i="7"/>
  <c r="EA104" i="7"/>
  <c r="EC104" i="7" s="1"/>
  <c r="DW104" i="7"/>
  <c r="EA142" i="7"/>
  <c r="EC142" i="7" s="1"/>
  <c r="DW142" i="7"/>
  <c r="DU172" i="7"/>
  <c r="DZ172" i="7"/>
  <c r="DW113" i="7"/>
  <c r="EA113" i="7"/>
  <c r="EC113" i="7" s="1"/>
  <c r="DW136" i="7"/>
  <c r="EA136" i="7"/>
  <c r="EC136" i="7" s="1"/>
  <c r="EE199" i="7"/>
  <c r="ED69" i="7"/>
  <c r="DR84" i="7"/>
  <c r="DS84" i="7" s="1"/>
  <c r="DV84" i="7" s="1"/>
  <c r="DT84" i="7"/>
  <c r="DU205" i="7"/>
  <c r="DZ205" i="7"/>
  <c r="EB95" i="7"/>
  <c r="EF95" i="7" s="1"/>
  <c r="EI95" i="7" s="1"/>
  <c r="EB91" i="7"/>
  <c r="ED91" i="7" s="1"/>
  <c r="EB167" i="7"/>
  <c r="EF167" i="7" s="1"/>
  <c r="EI167" i="7" s="1"/>
  <c r="DU67" i="7"/>
  <c r="DZ67" i="7"/>
  <c r="DW108" i="7"/>
  <c r="EA108" i="7"/>
  <c r="EC108" i="7" s="1"/>
  <c r="EB129" i="7"/>
  <c r="ED129" i="7" s="1"/>
  <c r="DT115" i="7"/>
  <c r="DR115" i="7"/>
  <c r="DS115" i="7" s="1"/>
  <c r="DV115" i="7" s="1"/>
  <c r="EA75" i="7"/>
  <c r="EC75" i="7" s="1"/>
  <c r="DW75" i="7"/>
  <c r="DZ116" i="7"/>
  <c r="DU116" i="7"/>
  <c r="EB188" i="7"/>
  <c r="EE188" i="7" s="1"/>
  <c r="EB127" i="7"/>
  <c r="EF127" i="7" s="1"/>
  <c r="EI127" i="7" s="1"/>
  <c r="DU90" i="7"/>
  <c r="DZ90" i="7"/>
  <c r="DU59" i="7"/>
  <c r="DZ59" i="7"/>
  <c r="EA194" i="7"/>
  <c r="EC194" i="7" s="1"/>
  <c r="DW194" i="7"/>
  <c r="DW163" i="7"/>
  <c r="EA163" i="7"/>
  <c r="EC163" i="7" s="1"/>
  <c r="DW100" i="7"/>
  <c r="EA100" i="7"/>
  <c r="EC100" i="7" s="1"/>
  <c r="DW65" i="7"/>
  <c r="EA65" i="7"/>
  <c r="EC65" i="7" s="1"/>
  <c r="ED160" i="7"/>
  <c r="EG160" i="7" s="1"/>
  <c r="EH160" i="7" s="1"/>
  <c r="ED70" i="7"/>
  <c r="EF118" i="7"/>
  <c r="EI118" i="7" s="1"/>
  <c r="ED112" i="7"/>
  <c r="EE169" i="7"/>
  <c r="ED159" i="7"/>
  <c r="ED199" i="7"/>
  <c r="EG199" i="7" s="1"/>
  <c r="EH199" i="7" s="1"/>
  <c r="EF62" i="7"/>
  <c r="EI62" i="7" s="1"/>
  <c r="EF132" i="7"/>
  <c r="EI132" i="7" s="1"/>
  <c r="EF69" i="7"/>
  <c r="EI69" i="7" s="1"/>
  <c r="EB73" i="7"/>
  <c r="EF73" i="7" s="1"/>
  <c r="EI73" i="7" s="1"/>
  <c r="DW101" i="7"/>
  <c r="EA101" i="7"/>
  <c r="EC101" i="7" s="1"/>
  <c r="EB186" i="7"/>
  <c r="ED186" i="7" s="1"/>
  <c r="DW77" i="7"/>
  <c r="EA77" i="7"/>
  <c r="EC77" i="7" s="1"/>
  <c r="EB88" i="7"/>
  <c r="ED88" i="7" s="1"/>
  <c r="DZ137" i="7"/>
  <c r="DU137" i="7"/>
  <c r="DU78" i="7"/>
  <c r="DZ78" i="7"/>
  <c r="EB125" i="7"/>
  <c r="EF125" i="7" s="1"/>
  <c r="EI125" i="7" s="1"/>
  <c r="EB61" i="7"/>
  <c r="EF61" i="7" s="1"/>
  <c r="EI61" i="7" s="1"/>
  <c r="DZ105" i="7"/>
  <c r="DU105" i="7"/>
  <c r="DT133" i="7"/>
  <c r="DR133" i="7"/>
  <c r="DS133" i="7" s="1"/>
  <c r="DV133" i="7" s="1"/>
  <c r="EA204" i="7"/>
  <c r="EC204" i="7" s="1"/>
  <c r="DW204" i="7"/>
  <c r="DU147" i="7"/>
  <c r="DZ147" i="7"/>
  <c r="EB196" i="7"/>
  <c r="EF196" i="7" s="1"/>
  <c r="EI196" i="7" s="1"/>
  <c r="DW90" i="7"/>
  <c r="EA90" i="7"/>
  <c r="EC90" i="7" s="1"/>
  <c r="DW59" i="7"/>
  <c r="EA59" i="7"/>
  <c r="EC59" i="7" s="1"/>
  <c r="DU194" i="7"/>
  <c r="DZ194" i="7"/>
  <c r="DU163" i="7"/>
  <c r="DZ163" i="7"/>
  <c r="DZ100" i="7"/>
  <c r="DU100" i="7"/>
  <c r="DZ65" i="7"/>
  <c r="DU65" i="7"/>
  <c r="ED118" i="7"/>
  <c r="EE198" i="7"/>
  <c r="ED132" i="7"/>
  <c r="AV152" i="3" l="1"/>
  <c r="Y632" i="6"/>
  <c r="AW198" i="3"/>
  <c r="AV175" i="3"/>
  <c r="Y644" i="6"/>
  <c r="AV198" i="3"/>
  <c r="Y656" i="6"/>
  <c r="AW195" i="3"/>
  <c r="AW197" i="3" s="1"/>
  <c r="AW194" i="3"/>
  <c r="AW172" i="3"/>
  <c r="AW174" i="3" s="1"/>
  <c r="AW170" i="3"/>
  <c r="AW173" i="3" s="1"/>
  <c r="AX168" i="3"/>
  <c r="AX169" i="3" s="1"/>
  <c r="AX172" i="3" s="1"/>
  <c r="AX174" i="3" s="1"/>
  <c r="AW149" i="3"/>
  <c r="AW151" i="3" s="1"/>
  <c r="AW147" i="3"/>
  <c r="AW150" i="3" s="1"/>
  <c r="AW148" i="3"/>
  <c r="AX145" i="3"/>
  <c r="AX146" i="3" s="1"/>
  <c r="BA158" i="3"/>
  <c r="AZ163" i="3"/>
  <c r="AZ162" i="3"/>
  <c r="AY167" i="3"/>
  <c r="AY165" i="3"/>
  <c r="AY166" i="3" s="1"/>
  <c r="AZ185" i="3"/>
  <c r="BA181" i="3"/>
  <c r="AZ186" i="3"/>
  <c r="AY144" i="3"/>
  <c r="AY142" i="3"/>
  <c r="AY143" i="3" s="1"/>
  <c r="AY188" i="3"/>
  <c r="AY189" i="3" s="1"/>
  <c r="AY190" i="3"/>
  <c r="AZ140" i="3"/>
  <c r="BA135" i="3"/>
  <c r="AZ139" i="3"/>
  <c r="AX191" i="3"/>
  <c r="AX192" i="3" s="1"/>
  <c r="ED64" i="7"/>
  <c r="EF64" i="7"/>
  <c r="EI64" i="7" s="1"/>
  <c r="EF82" i="7"/>
  <c r="EI82" i="7" s="1"/>
  <c r="ED82" i="7"/>
  <c r="BF57" i="3"/>
  <c r="BF56" i="3"/>
  <c r="BF55" i="3"/>
  <c r="BF58" i="3" s="1"/>
  <c r="BF80" i="3"/>
  <c r="BF79" i="3"/>
  <c r="BF78" i="3"/>
  <c r="BF81" i="3" s="1"/>
  <c r="BG56" i="3"/>
  <c r="BG57" i="3"/>
  <c r="BG55" i="3"/>
  <c r="BG58" i="3" s="1"/>
  <c r="BI32" i="3"/>
  <c r="BI33" i="3"/>
  <c r="BI31" i="3"/>
  <c r="BI34" i="3" s="1"/>
  <c r="BI80" i="3"/>
  <c r="BI79" i="3"/>
  <c r="BI78" i="3"/>
  <c r="BI81" i="3" s="1"/>
  <c r="BI56" i="3"/>
  <c r="BI57" i="3"/>
  <c r="BI55" i="3"/>
  <c r="BI58" i="3" s="1"/>
  <c r="BF32" i="3"/>
  <c r="BF33" i="3"/>
  <c r="BF31" i="3"/>
  <c r="BF34" i="3" s="1"/>
  <c r="BG32" i="3"/>
  <c r="BG33" i="3"/>
  <c r="BG31" i="3"/>
  <c r="BG34" i="3" s="1"/>
  <c r="BD79" i="3"/>
  <c r="BD80" i="3"/>
  <c r="BD78" i="3"/>
  <c r="BD81" i="3" s="1"/>
  <c r="BD56" i="3"/>
  <c r="BD57" i="3"/>
  <c r="BD55" i="3"/>
  <c r="BD58" i="3" s="1"/>
  <c r="BD32" i="3"/>
  <c r="BD33" i="3"/>
  <c r="BD31" i="3"/>
  <c r="BD34" i="3" s="1"/>
  <c r="BG79" i="3"/>
  <c r="BG80" i="3"/>
  <c r="BG78" i="3"/>
  <c r="BG81" i="3" s="1"/>
  <c r="ED166" i="7"/>
  <c r="EE166" i="7"/>
  <c r="EF166" i="7"/>
  <c r="EI166" i="7" s="1"/>
  <c r="ED107" i="7"/>
  <c r="EF107" i="7"/>
  <c r="EI107" i="7" s="1"/>
  <c r="EA181" i="7"/>
  <c r="EC181" i="7" s="1"/>
  <c r="EB187" i="7"/>
  <c r="ED187" i="7" s="1"/>
  <c r="EG112" i="7"/>
  <c r="EH112" i="7" s="1"/>
  <c r="EJ112" i="7" s="1"/>
  <c r="EG153" i="7"/>
  <c r="EH153" i="7" s="1"/>
  <c r="EJ153" i="7" s="1"/>
  <c r="EB114" i="7"/>
  <c r="EJ199" i="7"/>
  <c r="EG155" i="7"/>
  <c r="EH155" i="7" s="1"/>
  <c r="EJ155" i="7" s="1"/>
  <c r="EG159" i="7"/>
  <c r="EH159" i="7" s="1"/>
  <c r="EJ159" i="7" s="1"/>
  <c r="EJ191" i="7"/>
  <c r="EG98" i="7"/>
  <c r="EH98" i="7" s="1"/>
  <c r="EJ98" i="7" s="1"/>
  <c r="EB192" i="7"/>
  <c r="EJ128" i="7"/>
  <c r="DU181" i="7"/>
  <c r="EL168" i="7"/>
  <c r="EK168" i="7"/>
  <c r="EB144" i="7"/>
  <c r="EF144" i="7" s="1"/>
  <c r="EI144" i="7" s="1"/>
  <c r="EL96" i="7"/>
  <c r="EL128" i="7"/>
  <c r="EJ160" i="7"/>
  <c r="EJ96" i="7"/>
  <c r="EB184" i="7"/>
  <c r="EG162" i="7"/>
  <c r="EL198" i="7"/>
  <c r="ED179" i="7"/>
  <c r="EG179" i="7" s="1"/>
  <c r="EH179" i="7" s="1"/>
  <c r="EG68" i="7"/>
  <c r="EF109" i="7"/>
  <c r="EI109" i="7" s="1"/>
  <c r="ED99" i="7"/>
  <c r="EE92" i="7"/>
  <c r="ED109" i="7"/>
  <c r="ED154" i="7"/>
  <c r="ED173" i="7"/>
  <c r="EF189" i="7"/>
  <c r="EI189" i="7" s="1"/>
  <c r="EE206" i="7"/>
  <c r="EF188" i="7"/>
  <c r="EI188" i="7" s="1"/>
  <c r="EF177" i="7"/>
  <c r="EI177" i="7" s="1"/>
  <c r="EF206" i="7"/>
  <c r="EI206" i="7" s="1"/>
  <c r="ED110" i="7"/>
  <c r="EF111" i="7"/>
  <c r="EI111" i="7" s="1"/>
  <c r="ED117" i="7"/>
  <c r="EE58" i="7"/>
  <c r="EF117" i="7"/>
  <c r="EI117" i="7" s="1"/>
  <c r="ED138" i="7"/>
  <c r="EG138" i="7" s="1"/>
  <c r="EH138" i="7" s="1"/>
  <c r="ED197" i="7"/>
  <c r="EG197" i="7" s="1"/>
  <c r="EH197" i="7" s="1"/>
  <c r="EF110" i="7"/>
  <c r="EI110" i="7" s="1"/>
  <c r="EG169" i="7"/>
  <c r="EH169" i="7" s="1"/>
  <c r="EK169" i="7" s="1"/>
  <c r="EG132" i="7"/>
  <c r="EH132" i="7" s="1"/>
  <c r="EJ132" i="7" s="1"/>
  <c r="ED125" i="7"/>
  <c r="EG125" i="7" s="1"/>
  <c r="EH125" i="7" s="1"/>
  <c r="ED188" i="7"/>
  <c r="ED167" i="7"/>
  <c r="EG167" i="7" s="1"/>
  <c r="EF92" i="7"/>
  <c r="EI92" i="7" s="1"/>
  <c r="EF173" i="7"/>
  <c r="EI173" i="7" s="1"/>
  <c r="EF89" i="7"/>
  <c r="EI89" i="7" s="1"/>
  <c r="ED177" i="7"/>
  <c r="EE178" i="7"/>
  <c r="EE89" i="7"/>
  <c r="EE182" i="7"/>
  <c r="EE94" i="7"/>
  <c r="ED73" i="7"/>
  <c r="EG73" i="7" s="1"/>
  <c r="EF91" i="7"/>
  <c r="EI91" i="7" s="1"/>
  <c r="ED94" i="7"/>
  <c r="EG94" i="7" s="1"/>
  <c r="EH94" i="7" s="1"/>
  <c r="EE179" i="7"/>
  <c r="EE73" i="7"/>
  <c r="EE91" i="7"/>
  <c r="ED185" i="7"/>
  <c r="EG185" i="7" s="1"/>
  <c r="EH185" i="7" s="1"/>
  <c r="EE93" i="7"/>
  <c r="ED175" i="7"/>
  <c r="EG175" i="7" s="1"/>
  <c r="EH175" i="7" s="1"/>
  <c r="EE185" i="7"/>
  <c r="ED158" i="7"/>
  <c r="EF93" i="7"/>
  <c r="EI93" i="7" s="1"/>
  <c r="ED119" i="7"/>
  <c r="EG119" i="7" s="1"/>
  <c r="EE175" i="7"/>
  <c r="EE197" i="7"/>
  <c r="DW202" i="7"/>
  <c r="EA202" i="7"/>
  <c r="EC202" i="7" s="1"/>
  <c r="EG118" i="7"/>
  <c r="EH118" i="7" s="1"/>
  <c r="EJ118" i="7" s="1"/>
  <c r="EF88" i="7"/>
  <c r="EI88" i="7" s="1"/>
  <c r="ED127" i="7"/>
  <c r="EG127" i="7" s="1"/>
  <c r="EH127" i="7" s="1"/>
  <c r="EF158" i="7"/>
  <c r="EI158" i="7" s="1"/>
  <c r="EF154" i="7"/>
  <c r="EI154" i="7" s="1"/>
  <c r="ED178" i="7"/>
  <c r="EG178" i="7" s="1"/>
  <c r="EH178" i="7" s="1"/>
  <c r="EE119" i="7"/>
  <c r="EF182" i="7"/>
  <c r="EI182" i="7" s="1"/>
  <c r="EF103" i="7"/>
  <c r="EI103" i="7" s="1"/>
  <c r="DU202" i="7"/>
  <c r="DZ202" i="7"/>
  <c r="EB152" i="7"/>
  <c r="EF152" i="7" s="1"/>
  <c r="EI152" i="7" s="1"/>
  <c r="ED196" i="7"/>
  <c r="EG196" i="7" s="1"/>
  <c r="EH196" i="7" s="1"/>
  <c r="EE111" i="7"/>
  <c r="EF131" i="7"/>
  <c r="EI131" i="7" s="1"/>
  <c r="ED170" i="7"/>
  <c r="EE186" i="7"/>
  <c r="EE95" i="7"/>
  <c r="EE88" i="7"/>
  <c r="EF186" i="7"/>
  <c r="EI186" i="7" s="1"/>
  <c r="EE127" i="7"/>
  <c r="ED95" i="7"/>
  <c r="EG95" i="7" s="1"/>
  <c r="EH95" i="7" s="1"/>
  <c r="EG69" i="7"/>
  <c r="EH69" i="7" s="1"/>
  <c r="EJ69" i="7" s="1"/>
  <c r="EE138" i="7"/>
  <c r="EE164" i="7"/>
  <c r="EF86" i="7"/>
  <c r="EI86" i="7" s="1"/>
  <c r="EE102" i="7"/>
  <c r="ED102" i="7"/>
  <c r="EF102" i="7"/>
  <c r="EI102" i="7" s="1"/>
  <c r="EG70" i="7"/>
  <c r="EH70" i="7" s="1"/>
  <c r="EJ70" i="7" s="1"/>
  <c r="ED123" i="7"/>
  <c r="EG123" i="7" s="1"/>
  <c r="EH123" i="7" s="1"/>
  <c r="EE203" i="7"/>
  <c r="EK198" i="7"/>
  <c r="EE86" i="7"/>
  <c r="EE103" i="7"/>
  <c r="EG87" i="7"/>
  <c r="EB194" i="7"/>
  <c r="ED194" i="7" s="1"/>
  <c r="EB163" i="7"/>
  <c r="EF163" i="7" s="1"/>
  <c r="EI163" i="7" s="1"/>
  <c r="DZ133" i="7"/>
  <c r="DU133" i="7"/>
  <c r="EB100" i="7"/>
  <c r="EE100" i="7" s="1"/>
  <c r="DW133" i="7"/>
  <c r="EA133" i="7"/>
  <c r="EC133" i="7" s="1"/>
  <c r="EB205" i="7"/>
  <c r="ED205" i="7" s="1"/>
  <c r="DU139" i="7"/>
  <c r="DZ139" i="7"/>
  <c r="EB142" i="7"/>
  <c r="ED142" i="7" s="1"/>
  <c r="EB76" i="7"/>
  <c r="EE76" i="7" s="1"/>
  <c r="DZ97" i="7"/>
  <c r="DU97" i="7"/>
  <c r="DU79" i="7"/>
  <c r="DZ79" i="7"/>
  <c r="EB204" i="7"/>
  <c r="ED204" i="7" s="1"/>
  <c r="DU74" i="7"/>
  <c r="DZ74" i="7"/>
  <c r="EE196" i="7"/>
  <c r="EE61" i="7"/>
  <c r="EE125" i="7"/>
  <c r="EL191" i="7"/>
  <c r="EG62" i="7"/>
  <c r="EH62" i="7" s="1"/>
  <c r="EJ62" i="7" s="1"/>
  <c r="EL199" i="7"/>
  <c r="EE180" i="7"/>
  <c r="EB137" i="7"/>
  <c r="EF137" i="7" s="1"/>
  <c r="EI137" i="7" s="1"/>
  <c r="EB116" i="7"/>
  <c r="EE116" i="7" s="1"/>
  <c r="DZ145" i="7"/>
  <c r="DU145" i="7"/>
  <c r="EB176" i="7"/>
  <c r="EE176" i="7" s="1"/>
  <c r="DW139" i="7"/>
  <c r="EA139" i="7"/>
  <c r="EC139" i="7" s="1"/>
  <c r="EB136" i="7"/>
  <c r="EE136" i="7" s="1"/>
  <c r="EB156" i="7"/>
  <c r="ED156" i="7" s="1"/>
  <c r="EA72" i="7"/>
  <c r="EC72" i="7" s="1"/>
  <c r="DW72" i="7"/>
  <c r="EA97" i="7"/>
  <c r="EC97" i="7" s="1"/>
  <c r="DW97" i="7"/>
  <c r="EB85" i="7"/>
  <c r="DW79" i="7"/>
  <c r="EA79" i="7"/>
  <c r="EC79" i="7" s="1"/>
  <c r="DU141" i="7"/>
  <c r="DZ141" i="7"/>
  <c r="EA74" i="7"/>
  <c r="EC74" i="7" s="1"/>
  <c r="DW74" i="7"/>
  <c r="EB90" i="7"/>
  <c r="EF90" i="7" s="1"/>
  <c r="EI90" i="7" s="1"/>
  <c r="EB143" i="7"/>
  <c r="EE143" i="7" s="1"/>
  <c r="EA145" i="7"/>
  <c r="EC145" i="7" s="1"/>
  <c r="DW145" i="7"/>
  <c r="DW183" i="7"/>
  <c r="EA183" i="7"/>
  <c r="EC183" i="7" s="1"/>
  <c r="EB121" i="7"/>
  <c r="EF121" i="7" s="1"/>
  <c r="EI121" i="7" s="1"/>
  <c r="EB120" i="7"/>
  <c r="ED120" i="7" s="1"/>
  <c r="EB149" i="7"/>
  <c r="ED149" i="7" s="1"/>
  <c r="DZ72" i="7"/>
  <c r="DU72" i="7"/>
  <c r="EB140" i="7"/>
  <c r="EE140" i="7" s="1"/>
  <c r="EB77" i="7"/>
  <c r="EE77" i="7" s="1"/>
  <c r="DW141" i="7"/>
  <c r="EA141" i="7"/>
  <c r="EC141" i="7" s="1"/>
  <c r="DW134" i="7"/>
  <c r="EA134" i="7"/>
  <c r="EC134" i="7" s="1"/>
  <c r="EK96" i="7"/>
  <c r="EB105" i="7"/>
  <c r="EE105" i="7" s="1"/>
  <c r="DU115" i="7"/>
  <c r="DZ115" i="7"/>
  <c r="EB181" i="7"/>
  <c r="EE181" i="7" s="1"/>
  <c r="EA84" i="7"/>
  <c r="EC84" i="7" s="1"/>
  <c r="DW84" i="7"/>
  <c r="EB108" i="7"/>
  <c r="EF108" i="7" s="1"/>
  <c r="EI108" i="7" s="1"/>
  <c r="DU183" i="7"/>
  <c r="DZ183" i="7"/>
  <c r="DZ80" i="7"/>
  <c r="DU80" i="7"/>
  <c r="EB193" i="7"/>
  <c r="ED193" i="7" s="1"/>
  <c r="EB148" i="7"/>
  <c r="ED148" i="7" s="1"/>
  <c r="EB157" i="7"/>
  <c r="DZ135" i="7"/>
  <c r="DU135" i="7"/>
  <c r="EB151" i="7"/>
  <c r="EE151" i="7" s="1"/>
  <c r="EB165" i="7"/>
  <c r="ED165" i="7" s="1"/>
  <c r="EA174" i="7"/>
  <c r="EC174" i="7" s="1"/>
  <c r="DW174" i="7"/>
  <c r="DZ124" i="7"/>
  <c r="DU124" i="7"/>
  <c r="EA122" i="7"/>
  <c r="EC122" i="7" s="1"/>
  <c r="DW122" i="7"/>
  <c r="DZ134" i="7"/>
  <c r="DU134" i="7"/>
  <c r="EL160" i="7"/>
  <c r="EE161" i="7"/>
  <c r="ED200" i="7"/>
  <c r="EE106" i="7"/>
  <c r="EB65" i="7"/>
  <c r="ED65" i="7" s="1"/>
  <c r="EB147" i="7"/>
  <c r="ED147" i="7" s="1"/>
  <c r="EB78" i="7"/>
  <c r="EB59" i="7"/>
  <c r="EE59" i="7" s="1"/>
  <c r="EA115" i="7"/>
  <c r="EC115" i="7" s="1"/>
  <c r="DW115" i="7"/>
  <c r="DZ84" i="7"/>
  <c r="DU84" i="7"/>
  <c r="DU130" i="7"/>
  <c r="DZ130" i="7"/>
  <c r="EB190" i="7"/>
  <c r="EF190" i="7" s="1"/>
  <c r="EI190" i="7" s="1"/>
  <c r="DW80" i="7"/>
  <c r="EA80" i="7"/>
  <c r="EC80" i="7" s="1"/>
  <c r="EB113" i="7"/>
  <c r="EE113" i="7" s="1"/>
  <c r="EB71" i="7"/>
  <c r="EE71" i="7" s="1"/>
  <c r="EB60" i="7"/>
  <c r="EF60" i="7" s="1"/>
  <c r="EI60" i="7" s="1"/>
  <c r="EA135" i="7"/>
  <c r="EC135" i="7" s="1"/>
  <c r="DW135" i="7"/>
  <c r="EB150" i="7"/>
  <c r="EE150" i="7" s="1"/>
  <c r="EB83" i="7"/>
  <c r="ED83" i="7" s="1"/>
  <c r="DU174" i="7"/>
  <c r="DZ174" i="7"/>
  <c r="EA124" i="7"/>
  <c r="EC124" i="7" s="1"/>
  <c r="DW124" i="7"/>
  <c r="DZ122" i="7"/>
  <c r="DU122" i="7"/>
  <c r="ED61" i="7"/>
  <c r="EG61" i="7" s="1"/>
  <c r="EH61" i="7" s="1"/>
  <c r="EF129" i="7"/>
  <c r="EI129" i="7" s="1"/>
  <c r="EE81" i="7"/>
  <c r="EF146" i="7"/>
  <c r="EI146" i="7" s="1"/>
  <c r="EF63" i="7"/>
  <c r="EI63" i="7" s="1"/>
  <c r="EF161" i="7"/>
  <c r="EI161" i="7" s="1"/>
  <c r="EK199" i="7"/>
  <c r="EF171" i="7"/>
  <c r="EI171" i="7" s="1"/>
  <c r="EF170" i="7"/>
  <c r="EI170" i="7" s="1"/>
  <c r="EF200" i="7"/>
  <c r="EI200" i="7" s="1"/>
  <c r="EF201" i="7"/>
  <c r="EI201" i="7" s="1"/>
  <c r="ED106" i="7"/>
  <c r="EK128" i="7"/>
  <c r="EK160" i="7"/>
  <c r="EB67" i="7"/>
  <c r="EE67" i="7" s="1"/>
  <c r="EB172" i="7"/>
  <c r="EF172" i="7" s="1"/>
  <c r="EI172" i="7" s="1"/>
  <c r="EB75" i="7"/>
  <c r="EF75" i="7" s="1"/>
  <c r="EI75" i="7" s="1"/>
  <c r="DW130" i="7"/>
  <c r="EA130" i="7"/>
  <c r="EC130" i="7" s="1"/>
  <c r="EB104" i="7"/>
  <c r="EE104" i="7" s="1"/>
  <c r="EB195" i="7"/>
  <c r="EF195" i="7" s="1"/>
  <c r="EI195" i="7" s="1"/>
  <c r="EB66" i="7"/>
  <c r="EF66" i="7" s="1"/>
  <c r="EI66" i="7" s="1"/>
  <c r="EB57" i="7"/>
  <c r="EF57" i="7" s="1"/>
  <c r="EI57" i="7" s="1"/>
  <c r="EB126" i="7"/>
  <c r="ED126" i="7" s="1"/>
  <c r="EB101" i="7"/>
  <c r="EE101" i="7" s="1"/>
  <c r="EE129" i="7"/>
  <c r="EE167" i="7"/>
  <c r="EE123" i="7"/>
  <c r="EE131" i="7"/>
  <c r="EF81" i="7"/>
  <c r="EI81" i="7" s="1"/>
  <c r="EF99" i="7"/>
  <c r="EI99" i="7" s="1"/>
  <c r="EE146" i="7"/>
  <c r="ED58" i="7"/>
  <c r="EG58" i="7" s="1"/>
  <c r="EH58" i="7" s="1"/>
  <c r="EE63" i="7"/>
  <c r="ED203" i="7"/>
  <c r="EG203" i="7" s="1"/>
  <c r="EH203" i="7" s="1"/>
  <c r="ED161" i="7"/>
  <c r="EE189" i="7"/>
  <c r="EF164" i="7"/>
  <c r="EI164" i="7" s="1"/>
  <c r="EJ198" i="7"/>
  <c r="ED171" i="7"/>
  <c r="EF180" i="7"/>
  <c r="EI180" i="7" s="1"/>
  <c r="EE200" i="7"/>
  <c r="EE201" i="7"/>
  <c r="EF106" i="7"/>
  <c r="EI106" i="7" s="1"/>
  <c r="EK191" i="7"/>
  <c r="Z656" i="6" l="1"/>
  <c r="EN160" i="7"/>
  <c r="EP160" i="7" s="1"/>
  <c r="EN199" i="7"/>
  <c r="EP199" i="7" s="1"/>
  <c r="EN191" i="7"/>
  <c r="EP191" i="7" s="1"/>
  <c r="EN128" i="7"/>
  <c r="EP128" i="7" s="1"/>
  <c r="EM168" i="7"/>
  <c r="EQ168" i="7" s="1"/>
  <c r="ER168" i="7" s="1"/>
  <c r="BJ22" i="7" s="1"/>
  <c r="BM22" i="7" s="1"/>
  <c r="BP22" i="7" s="1"/>
  <c r="P22" i="7" s="1"/>
  <c r="EN168" i="7"/>
  <c r="EP168" i="7" s="1"/>
  <c r="EN198" i="7"/>
  <c r="EO198" i="7" s="1"/>
  <c r="EN96" i="7"/>
  <c r="EO96" i="7" s="1"/>
  <c r="AW175" i="3"/>
  <c r="Z644" i="6"/>
  <c r="AW152" i="3"/>
  <c r="Z632" i="6"/>
  <c r="AY168" i="3"/>
  <c r="AY169" i="3" s="1"/>
  <c r="AX171" i="3"/>
  <c r="AX170" i="3"/>
  <c r="AX173" i="3" s="1"/>
  <c r="BA140" i="3"/>
  <c r="BB135" i="3"/>
  <c r="BA139" i="3"/>
  <c r="AZ144" i="3"/>
  <c r="AZ142" i="3"/>
  <c r="AZ143" i="3" s="1"/>
  <c r="AY145" i="3"/>
  <c r="AY146" i="3" s="1"/>
  <c r="AZ167" i="3"/>
  <c r="AZ165" i="3"/>
  <c r="AZ166" i="3" s="1"/>
  <c r="AX195" i="3"/>
  <c r="AX197" i="3" s="1"/>
  <c r="AX193" i="3"/>
  <c r="AX196" i="3" s="1"/>
  <c r="AX194" i="3"/>
  <c r="AY191" i="3"/>
  <c r="AY192" i="3" s="1"/>
  <c r="AZ190" i="3"/>
  <c r="AZ188" i="3"/>
  <c r="AZ189" i="3" s="1"/>
  <c r="BA162" i="3"/>
  <c r="BB158" i="3"/>
  <c r="BA163" i="3"/>
  <c r="BA185" i="3"/>
  <c r="BB181" i="3"/>
  <c r="BA186" i="3"/>
  <c r="AX147" i="3"/>
  <c r="AX150" i="3" s="1"/>
  <c r="AX149" i="3"/>
  <c r="AX151" i="3" s="1"/>
  <c r="AX148" i="3"/>
  <c r="EG64" i="7"/>
  <c r="EH64" i="7" s="1"/>
  <c r="EJ64" i="7" s="1"/>
  <c r="EG82" i="7"/>
  <c r="EH82" i="7" s="1"/>
  <c r="EG107" i="7"/>
  <c r="EH107" i="7" s="1"/>
  <c r="EK107" i="7" s="1"/>
  <c r="BD35" i="3"/>
  <c r="Z55" i="3" s="1"/>
  <c r="Y55" i="3"/>
  <c r="BD60" i="3"/>
  <c r="X76" i="3" s="1"/>
  <c r="W76" i="3"/>
  <c r="BG83" i="3"/>
  <c r="X92" i="3" s="1"/>
  <c r="W92" i="3"/>
  <c r="BF35" i="3"/>
  <c r="Y53" i="3"/>
  <c r="BI36" i="3"/>
  <c r="W48" i="3"/>
  <c r="Y95" i="3"/>
  <c r="BF82" i="3"/>
  <c r="W90" i="3"/>
  <c r="BI83" i="3"/>
  <c r="BF83" i="3"/>
  <c r="W95" i="3"/>
  <c r="Y90" i="3"/>
  <c r="BI82" i="3"/>
  <c r="BG82" i="3"/>
  <c r="Z92" i="3" s="1"/>
  <c r="Y92" i="3"/>
  <c r="W97" i="3"/>
  <c r="BD83" i="3"/>
  <c r="X97" i="3" s="1"/>
  <c r="BI35" i="3"/>
  <c r="Y48" i="3"/>
  <c r="BF60" i="3"/>
  <c r="W74" i="3"/>
  <c r="BG36" i="3"/>
  <c r="X50" i="3" s="1"/>
  <c r="W50" i="3"/>
  <c r="BD59" i="3"/>
  <c r="Z76" i="3" s="1"/>
  <c r="Y76" i="3"/>
  <c r="BD82" i="3"/>
  <c r="Z97" i="3" s="1"/>
  <c r="Y97" i="3"/>
  <c r="W69" i="3"/>
  <c r="BI60" i="3"/>
  <c r="BG59" i="3"/>
  <c r="Z71" i="3" s="1"/>
  <c r="Y71" i="3"/>
  <c r="BG35" i="3"/>
  <c r="Z50" i="3" s="1"/>
  <c r="Y50" i="3"/>
  <c r="BF36" i="3"/>
  <c r="W53" i="3"/>
  <c r="BD36" i="3"/>
  <c r="X55" i="3" s="1"/>
  <c r="W55" i="3"/>
  <c r="BI59" i="3"/>
  <c r="Y69" i="3"/>
  <c r="BG60" i="3"/>
  <c r="X71" i="3" s="1"/>
  <c r="W71" i="3"/>
  <c r="Y74" i="3"/>
  <c r="BF59" i="3"/>
  <c r="EG166" i="7"/>
  <c r="EM199" i="7"/>
  <c r="EQ199" i="7" s="1"/>
  <c r="ER199" i="7" s="1"/>
  <c r="BJ53" i="7" s="1"/>
  <c r="EL69" i="7"/>
  <c r="EG189" i="7"/>
  <c r="EH189" i="7" s="1"/>
  <c r="EJ189" i="7" s="1"/>
  <c r="EK153" i="7"/>
  <c r="EL153" i="7"/>
  <c r="EM198" i="7"/>
  <c r="EQ198" i="7" s="1"/>
  <c r="ER198" i="7" s="1"/>
  <c r="BJ52" i="7" s="1"/>
  <c r="EL95" i="7"/>
  <c r="EL70" i="7"/>
  <c r="EJ196" i="7"/>
  <c r="EJ185" i="7"/>
  <c r="EK112" i="7"/>
  <c r="EL112" i="7"/>
  <c r="EF187" i="7"/>
  <c r="EI187" i="7" s="1"/>
  <c r="EE187" i="7"/>
  <c r="EJ107" i="7"/>
  <c r="EM128" i="7"/>
  <c r="EQ128" i="7" s="1"/>
  <c r="ER128" i="7" s="1"/>
  <c r="AQ32" i="7" s="1"/>
  <c r="EK159" i="7"/>
  <c r="ED114" i="7"/>
  <c r="EF114" i="7"/>
  <c r="EI114" i="7" s="1"/>
  <c r="EE114" i="7"/>
  <c r="EL159" i="7"/>
  <c r="EJ94" i="7"/>
  <c r="EK155" i="7"/>
  <c r="EJ197" i="7"/>
  <c r="EJ175" i="7"/>
  <c r="EH167" i="7"/>
  <c r="EJ167" i="7" s="1"/>
  <c r="EL167" i="7"/>
  <c r="EL185" i="7"/>
  <c r="EL98" i="7"/>
  <c r="EK69" i="7"/>
  <c r="EG110" i="7"/>
  <c r="EH110" i="7" s="1"/>
  <c r="EJ110" i="7" s="1"/>
  <c r="EL118" i="7"/>
  <c r="EG188" i="7"/>
  <c r="EH188" i="7" s="1"/>
  <c r="EJ188" i="7" s="1"/>
  <c r="EJ179" i="7"/>
  <c r="EG91" i="7"/>
  <c r="EH91" i="7" s="1"/>
  <c r="EJ91" i="7" s="1"/>
  <c r="EM96" i="7"/>
  <c r="EQ96" i="7" s="1"/>
  <c r="ER96" i="7" s="1"/>
  <c r="X50" i="7" s="1"/>
  <c r="EK98" i="7"/>
  <c r="EJ127" i="7"/>
  <c r="EJ58" i="7"/>
  <c r="EK118" i="7"/>
  <c r="EJ95" i="7"/>
  <c r="EM191" i="7"/>
  <c r="EQ191" i="7" s="1"/>
  <c r="ER191" i="7" s="1"/>
  <c r="BJ45" i="7" s="1"/>
  <c r="EG154" i="7"/>
  <c r="EH154" i="7" s="1"/>
  <c r="EJ154" i="7" s="1"/>
  <c r="EF192" i="7"/>
  <c r="EI192" i="7" s="1"/>
  <c r="EE192" i="7"/>
  <c r="ED192" i="7"/>
  <c r="EM160" i="7"/>
  <c r="EQ160" i="7" s="1"/>
  <c r="ER160" i="7" s="1"/>
  <c r="BJ14" i="7" s="1"/>
  <c r="BM14" i="7" s="1"/>
  <c r="EG177" i="7"/>
  <c r="EH177" i="7" s="1"/>
  <c r="EK177" i="7" s="1"/>
  <c r="EG109" i="7"/>
  <c r="EH109" i="7" s="1"/>
  <c r="EG173" i="7"/>
  <c r="EH173" i="7" s="1"/>
  <c r="EG182" i="7"/>
  <c r="EH182" i="7" s="1"/>
  <c r="EK94" i="7"/>
  <c r="EN94" i="7" s="1"/>
  <c r="EL155" i="7"/>
  <c r="EH73" i="7"/>
  <c r="EJ73" i="7" s="1"/>
  <c r="EL73" i="7"/>
  <c r="EL179" i="7"/>
  <c r="EJ169" i="7"/>
  <c r="EM169" i="7" s="1"/>
  <c r="EQ169" i="7" s="1"/>
  <c r="ER169" i="7" s="1"/>
  <c r="BJ23" i="7" s="1"/>
  <c r="EG111" i="7"/>
  <c r="EH111" i="7" s="1"/>
  <c r="EJ111" i="7" s="1"/>
  <c r="ED144" i="7"/>
  <c r="EG144" i="7" s="1"/>
  <c r="EH144" i="7" s="1"/>
  <c r="EE144" i="7"/>
  <c r="EL138" i="7"/>
  <c r="EG89" i="7"/>
  <c r="EH89" i="7" s="1"/>
  <c r="EJ89" i="7" s="1"/>
  <c r="EL169" i="7"/>
  <c r="EL178" i="7"/>
  <c r="EL125" i="7"/>
  <c r="EK70" i="7"/>
  <c r="EG171" i="7"/>
  <c r="EH171" i="7" s="1"/>
  <c r="EJ171" i="7" s="1"/>
  <c r="EJ203" i="7"/>
  <c r="EK178" i="7"/>
  <c r="EK132" i="7"/>
  <c r="EL94" i="7"/>
  <c r="EL62" i="7"/>
  <c r="EG206" i="7"/>
  <c r="EG158" i="7"/>
  <c r="EH158" i="7" s="1"/>
  <c r="EJ158" i="7" s="1"/>
  <c r="EG131" i="7"/>
  <c r="EL132" i="7"/>
  <c r="ED140" i="7"/>
  <c r="EJ138" i="7"/>
  <c r="EF184" i="7"/>
  <c r="EI184" i="7" s="1"/>
  <c r="ED184" i="7"/>
  <c r="EE184" i="7"/>
  <c r="EK62" i="7"/>
  <c r="EJ125" i="7"/>
  <c r="EG117" i="7"/>
  <c r="EH162" i="7"/>
  <c r="EL162" i="7"/>
  <c r="EG186" i="7"/>
  <c r="EH186" i="7" s="1"/>
  <c r="EJ186" i="7" s="1"/>
  <c r="EK185" i="7"/>
  <c r="EH68" i="7"/>
  <c r="EL68" i="7"/>
  <c r="EE190" i="7"/>
  <c r="EF113" i="7"/>
  <c r="EI113" i="7" s="1"/>
  <c r="EF65" i="7"/>
  <c r="EI65" i="7" s="1"/>
  <c r="EE65" i="7"/>
  <c r="EF100" i="7"/>
  <c r="EI100" i="7" s="1"/>
  <c r="EE60" i="7"/>
  <c r="ED113" i="7"/>
  <c r="ED190" i="7"/>
  <c r="EG190" i="7" s="1"/>
  <c r="EF140" i="7"/>
  <c r="EI140" i="7" s="1"/>
  <c r="EK179" i="7"/>
  <c r="EK95" i="7"/>
  <c r="EN95" i="7" s="1"/>
  <c r="EF105" i="7"/>
  <c r="EI105" i="7" s="1"/>
  <c r="ED163" i="7"/>
  <c r="EG163" i="7" s="1"/>
  <c r="EH163" i="7" s="1"/>
  <c r="EH119" i="7"/>
  <c r="EL119" i="7"/>
  <c r="ED101" i="7"/>
  <c r="ED195" i="7"/>
  <c r="EG195" i="7" s="1"/>
  <c r="EH195" i="7" s="1"/>
  <c r="EF71" i="7"/>
  <c r="EI71" i="7" s="1"/>
  <c r="EG92" i="7"/>
  <c r="EE149" i="7"/>
  <c r="EK123" i="7"/>
  <c r="EK127" i="7"/>
  <c r="ED152" i="7"/>
  <c r="EG152" i="7" s="1"/>
  <c r="EH152" i="7" s="1"/>
  <c r="EG93" i="7"/>
  <c r="EE66" i="7"/>
  <c r="EE120" i="7"/>
  <c r="ED66" i="7"/>
  <c r="EG66" i="7" s="1"/>
  <c r="EE195" i="7"/>
  <c r="ED67" i="7"/>
  <c r="EF83" i="7"/>
  <c r="EI83" i="7" s="1"/>
  <c r="EE193" i="7"/>
  <c r="EF120" i="7"/>
  <c r="EI120" i="7" s="1"/>
  <c r="ED176" i="7"/>
  <c r="EF116" i="7"/>
  <c r="EI116" i="7" s="1"/>
  <c r="EG161" i="7"/>
  <c r="EH161" i="7" s="1"/>
  <c r="EJ161" i="7" s="1"/>
  <c r="EL127" i="7"/>
  <c r="EF67" i="7"/>
  <c r="EI67" i="7" s="1"/>
  <c r="EE83" i="7"/>
  <c r="ED71" i="7"/>
  <c r="EF193" i="7"/>
  <c r="EI193" i="7" s="1"/>
  <c r="EF181" i="7"/>
  <c r="EI181" i="7" s="1"/>
  <c r="EF176" i="7"/>
  <c r="EI176" i="7" s="1"/>
  <c r="ED116" i="7"/>
  <c r="ED100" i="7"/>
  <c r="ED57" i="7"/>
  <c r="EG57" i="7" s="1"/>
  <c r="EH57" i="7" s="1"/>
  <c r="EJ61" i="7"/>
  <c r="EL196" i="7"/>
  <c r="EF149" i="7"/>
  <c r="EI149" i="7" s="1"/>
  <c r="EJ178" i="7"/>
  <c r="EF136" i="7"/>
  <c r="EI136" i="7" s="1"/>
  <c r="EG86" i="7"/>
  <c r="EH86" i="7" s="1"/>
  <c r="EJ86" i="7" s="1"/>
  <c r="EB202" i="7"/>
  <c r="EF202" i="7" s="1"/>
  <c r="EI202" i="7" s="1"/>
  <c r="EH87" i="7"/>
  <c r="EL87" i="7"/>
  <c r="EL203" i="7"/>
  <c r="EL123" i="7"/>
  <c r="EF165" i="7"/>
  <c r="EI165" i="7" s="1"/>
  <c r="EF143" i="7"/>
  <c r="EI143" i="7" s="1"/>
  <c r="ED137" i="7"/>
  <c r="EG137" i="7" s="1"/>
  <c r="EE194" i="7"/>
  <c r="EG88" i="7"/>
  <c r="EE126" i="7"/>
  <c r="EE165" i="7"/>
  <c r="ED105" i="7"/>
  <c r="ED143" i="7"/>
  <c r="EF156" i="7"/>
  <c r="EI156" i="7" s="1"/>
  <c r="EE137" i="7"/>
  <c r="EF194" i="7"/>
  <c r="EI194" i="7" s="1"/>
  <c r="EG102" i="7"/>
  <c r="EG103" i="7"/>
  <c r="EE152" i="7"/>
  <c r="EL197" i="7"/>
  <c r="EF126" i="7"/>
  <c r="EI126" i="7" s="1"/>
  <c r="EE57" i="7"/>
  <c r="EF150" i="7"/>
  <c r="EI150" i="7" s="1"/>
  <c r="ED60" i="7"/>
  <c r="EG60" i="7" s="1"/>
  <c r="EF147" i="7"/>
  <c r="EI147" i="7" s="1"/>
  <c r="EF77" i="7"/>
  <c r="EI77" i="7" s="1"/>
  <c r="ED121" i="7"/>
  <c r="EG121" i="7" s="1"/>
  <c r="EH121" i="7" s="1"/>
  <c r="ED90" i="7"/>
  <c r="EG90" i="7" s="1"/>
  <c r="EE156" i="7"/>
  <c r="EF204" i="7"/>
  <c r="EI204" i="7" s="1"/>
  <c r="EL175" i="7"/>
  <c r="EF151" i="7"/>
  <c r="EI151" i="7" s="1"/>
  <c r="ED77" i="7"/>
  <c r="EE90" i="7"/>
  <c r="EE204" i="7"/>
  <c r="EB174" i="7"/>
  <c r="ED174" i="7" s="1"/>
  <c r="EB130" i="7"/>
  <c r="EE130" i="7" s="1"/>
  <c r="EB115" i="7"/>
  <c r="ED115" i="7" s="1"/>
  <c r="EB74" i="7"/>
  <c r="EE74" i="7" s="1"/>
  <c r="EF101" i="7"/>
  <c r="EI101" i="7" s="1"/>
  <c r="ED104" i="7"/>
  <c r="ED172" i="7"/>
  <c r="EG172" i="7" s="1"/>
  <c r="EH172" i="7" s="1"/>
  <c r="EG106" i="7"/>
  <c r="EH106" i="7" s="1"/>
  <c r="EJ106" i="7" s="1"/>
  <c r="EL61" i="7"/>
  <c r="EK175" i="7"/>
  <c r="EK61" i="7"/>
  <c r="EG81" i="7"/>
  <c r="EH81" i="7" s="1"/>
  <c r="EJ81" i="7" s="1"/>
  <c r="EK196" i="7"/>
  <c r="EG99" i="7"/>
  <c r="EH99" i="7" s="1"/>
  <c r="EJ99" i="7" s="1"/>
  <c r="EK125" i="7"/>
  <c r="EB134" i="7"/>
  <c r="EF134" i="7" s="1"/>
  <c r="EI134" i="7" s="1"/>
  <c r="EB135" i="7"/>
  <c r="EF135" i="7" s="1"/>
  <c r="EI135" i="7" s="1"/>
  <c r="EB183" i="7"/>
  <c r="ED183" i="7" s="1"/>
  <c r="EO199" i="7"/>
  <c r="EB97" i="7"/>
  <c r="EF97" i="7" s="1"/>
  <c r="EI97" i="7" s="1"/>
  <c r="ED150" i="7"/>
  <c r="ED59" i="7"/>
  <c r="EG200" i="7"/>
  <c r="EH200" i="7" s="1"/>
  <c r="EJ200" i="7" s="1"/>
  <c r="EE108" i="7"/>
  <c r="ED181" i="7"/>
  <c r="EG170" i="7"/>
  <c r="EH170" i="7" s="1"/>
  <c r="EJ170" i="7" s="1"/>
  <c r="EK197" i="7"/>
  <c r="ED136" i="7"/>
  <c r="EK58" i="7"/>
  <c r="EG146" i="7"/>
  <c r="EH146" i="7" s="1"/>
  <c r="EJ146" i="7" s="1"/>
  <c r="EB122" i="7"/>
  <c r="ED122" i="7" s="1"/>
  <c r="EB84" i="7"/>
  <c r="EF84" i="7" s="1"/>
  <c r="EI84" i="7" s="1"/>
  <c r="EB80" i="7"/>
  <c r="ED80" i="7" s="1"/>
  <c r="EB139" i="7"/>
  <c r="EE139" i="7" s="1"/>
  <c r="EE75" i="7"/>
  <c r="EF59" i="7"/>
  <c r="EI59" i="7" s="1"/>
  <c r="ED78" i="7"/>
  <c r="EL58" i="7"/>
  <c r="EF157" i="7"/>
  <c r="EI157" i="7" s="1"/>
  <c r="ED108" i="7"/>
  <c r="EG108" i="7" s="1"/>
  <c r="EH108" i="7" s="1"/>
  <c r="EE121" i="7"/>
  <c r="EF85" i="7"/>
  <c r="EI85" i="7" s="1"/>
  <c r="EF76" i="7"/>
  <c r="EI76" i="7" s="1"/>
  <c r="EE205" i="7"/>
  <c r="EG63" i="7"/>
  <c r="EH63" i="7" s="1"/>
  <c r="EJ63" i="7" s="1"/>
  <c r="EK203" i="7"/>
  <c r="EG129" i="7"/>
  <c r="EH129" i="7" s="1"/>
  <c r="EJ129" i="7" s="1"/>
  <c r="EB124" i="7"/>
  <c r="ED124" i="7" s="1"/>
  <c r="EB145" i="7"/>
  <c r="EF145" i="7" s="1"/>
  <c r="EI145" i="7" s="1"/>
  <c r="EB133" i="7"/>
  <c r="EE133" i="7" s="1"/>
  <c r="EF104" i="7"/>
  <c r="EI104" i="7" s="1"/>
  <c r="ED75" i="7"/>
  <c r="EG75" i="7" s="1"/>
  <c r="EH75" i="7" s="1"/>
  <c r="EE172" i="7"/>
  <c r="EE78" i="7"/>
  <c r="EE147" i="7"/>
  <c r="ED151" i="7"/>
  <c r="EE157" i="7"/>
  <c r="EE148" i="7"/>
  <c r="EE85" i="7"/>
  <c r="ED76" i="7"/>
  <c r="EF142" i="7"/>
  <c r="EI142" i="7" s="1"/>
  <c r="EF205" i="7"/>
  <c r="EI205" i="7" s="1"/>
  <c r="EK138" i="7"/>
  <c r="EG180" i="7"/>
  <c r="EH180" i="7" s="1"/>
  <c r="EJ180" i="7" s="1"/>
  <c r="EB72" i="7"/>
  <c r="EF72" i="7" s="1"/>
  <c r="EI72" i="7" s="1"/>
  <c r="EB141" i="7"/>
  <c r="ED141" i="7" s="1"/>
  <c r="EB79" i="7"/>
  <c r="ED79" i="7" s="1"/>
  <c r="EF78" i="7"/>
  <c r="EI78" i="7" s="1"/>
  <c r="ED157" i="7"/>
  <c r="EF148" i="7"/>
  <c r="EI148" i="7" s="1"/>
  <c r="EJ123" i="7"/>
  <c r="ED85" i="7"/>
  <c r="EE142" i="7"/>
  <c r="EE163" i="7"/>
  <c r="EG164" i="7"/>
  <c r="EH164" i="7" s="1"/>
  <c r="EJ164" i="7" s="1"/>
  <c r="EG201" i="7"/>
  <c r="EH201" i="7" s="1"/>
  <c r="EJ201" i="7" s="1"/>
  <c r="EO160" i="7" l="1"/>
  <c r="BY23" i="7"/>
  <c r="BZ23" i="7" s="1"/>
  <c r="BS23" i="7"/>
  <c r="BV23" i="7" s="1"/>
  <c r="Q23" i="7" s="1"/>
  <c r="BX23" i="7"/>
  <c r="BY53" i="7"/>
  <c r="BZ53" i="7" s="1"/>
  <c r="BS53" i="7"/>
  <c r="BV53" i="7" s="1"/>
  <c r="Q53" i="7" s="1"/>
  <c r="BX53" i="7"/>
  <c r="AM50" i="7"/>
  <c r="AN50" i="7" s="1"/>
  <c r="AA50" i="7"/>
  <c r="AD50" i="7" s="1"/>
  <c r="AG50" i="7"/>
  <c r="AJ50" i="7" s="1"/>
  <c r="K50" i="7" s="1"/>
  <c r="AL50" i="7"/>
  <c r="BE32" i="7"/>
  <c r="AZ32" i="7"/>
  <c r="BC32" i="7" s="1"/>
  <c r="N32" i="7" s="1"/>
  <c r="BF32" i="7"/>
  <c r="BG32" i="7" s="1"/>
  <c r="EN175" i="7"/>
  <c r="EP175" i="7" s="1"/>
  <c r="BY14" i="7"/>
  <c r="BZ14" i="7" s="1"/>
  <c r="BX14" i="7"/>
  <c r="BS14" i="7"/>
  <c r="BV14" i="7" s="1"/>
  <c r="Q14" i="7" s="1"/>
  <c r="BX22" i="7"/>
  <c r="BS22" i="7"/>
  <c r="BV22" i="7" s="1"/>
  <c r="Q22" i="7" s="1"/>
  <c r="BY22" i="7"/>
  <c r="BZ22" i="7" s="1"/>
  <c r="EN196" i="7"/>
  <c r="EO196" i="7" s="1"/>
  <c r="BY45" i="7"/>
  <c r="BZ45" i="7" s="1"/>
  <c r="BS45" i="7"/>
  <c r="BV45" i="7" s="1"/>
  <c r="Q45" i="7" s="1"/>
  <c r="BX45" i="7"/>
  <c r="BY52" i="7"/>
  <c r="BZ52" i="7" s="1"/>
  <c r="BS52" i="7"/>
  <c r="BV52" i="7" s="1"/>
  <c r="Q52" i="7" s="1"/>
  <c r="BX52" i="7"/>
  <c r="EO191" i="7"/>
  <c r="EN125" i="7"/>
  <c r="EO125" i="7" s="1"/>
  <c r="EN138" i="7"/>
  <c r="EP138" i="7" s="1"/>
  <c r="EN127" i="7"/>
  <c r="EO127" i="7" s="1"/>
  <c r="EN179" i="7"/>
  <c r="EP179" i="7" s="1"/>
  <c r="EN185" i="7"/>
  <c r="EO185" i="7" s="1"/>
  <c r="EL186" i="7"/>
  <c r="EO128" i="7"/>
  <c r="EO95" i="7"/>
  <c r="EP96" i="7"/>
  <c r="EN123" i="7"/>
  <c r="EP123" i="7" s="1"/>
  <c r="EO94" i="7"/>
  <c r="EO168" i="7"/>
  <c r="EP198" i="7"/>
  <c r="EN197" i="7"/>
  <c r="EO197" i="7" s="1"/>
  <c r="EN178" i="7"/>
  <c r="EP178" i="7" s="1"/>
  <c r="EM70" i="7"/>
  <c r="EQ70" i="7" s="1"/>
  <c r="ER70" i="7" s="1"/>
  <c r="X24" i="7" s="1"/>
  <c r="EN70" i="7"/>
  <c r="EP70" i="7" s="1"/>
  <c r="EM118" i="7"/>
  <c r="EQ118" i="7" s="1"/>
  <c r="ER118" i="7" s="1"/>
  <c r="AQ22" i="7" s="1"/>
  <c r="AT22" i="7" s="1"/>
  <c r="EN118" i="7"/>
  <c r="EO118" i="7" s="1"/>
  <c r="EM159" i="7"/>
  <c r="EQ159" i="7" s="1"/>
  <c r="ER159" i="7" s="1"/>
  <c r="BJ13" i="7" s="1"/>
  <c r="EN159" i="7"/>
  <c r="EP159" i="7" s="1"/>
  <c r="EM153" i="7"/>
  <c r="EQ153" i="7" s="1"/>
  <c r="ER153" i="7" s="1"/>
  <c r="AQ57" i="7" s="1"/>
  <c r="EN153" i="7"/>
  <c r="EO153" i="7" s="1"/>
  <c r="EM155" i="7"/>
  <c r="EQ155" i="7" s="1"/>
  <c r="ER155" i="7" s="1"/>
  <c r="AQ59" i="7" s="1"/>
  <c r="EN155" i="7"/>
  <c r="EP155" i="7" s="1"/>
  <c r="EM112" i="7"/>
  <c r="EQ112" i="7" s="1"/>
  <c r="ER112" i="7" s="1"/>
  <c r="AQ16" i="7" s="1"/>
  <c r="AT16" i="7" s="1"/>
  <c r="AW16" i="7" s="1"/>
  <c r="M16" i="7" s="1"/>
  <c r="EN112" i="7"/>
  <c r="EO112" i="7" s="1"/>
  <c r="EN203" i="7"/>
  <c r="EO203" i="7" s="1"/>
  <c r="EN61" i="7"/>
  <c r="EO61" i="7" s="1"/>
  <c r="EM62" i="7"/>
  <c r="EQ62" i="7" s="1"/>
  <c r="ER62" i="7" s="1"/>
  <c r="X16" i="7" s="1"/>
  <c r="EN62" i="7"/>
  <c r="EP62" i="7" s="1"/>
  <c r="EM132" i="7"/>
  <c r="EQ132" i="7" s="1"/>
  <c r="ER132" i="7" s="1"/>
  <c r="AQ36" i="7" s="1"/>
  <c r="EN132" i="7"/>
  <c r="EP132" i="7" s="1"/>
  <c r="EM98" i="7"/>
  <c r="EQ98" i="7" s="1"/>
  <c r="ER98" i="7" s="1"/>
  <c r="X52" i="7" s="1"/>
  <c r="EN98" i="7"/>
  <c r="EP98" i="7" s="1"/>
  <c r="EM69" i="7"/>
  <c r="EQ69" i="7" s="1"/>
  <c r="ER69" i="7" s="1"/>
  <c r="X23" i="7" s="1"/>
  <c r="EN69" i="7"/>
  <c r="EO69" i="7" s="1"/>
  <c r="EN169" i="7"/>
  <c r="EP169" i="7" s="1"/>
  <c r="EN58" i="7"/>
  <c r="EP58" i="7" s="1"/>
  <c r="AX175" i="3"/>
  <c r="AA644" i="6"/>
  <c r="AX152" i="3"/>
  <c r="AA632" i="6"/>
  <c r="AX198" i="3"/>
  <c r="AA656" i="6"/>
  <c r="AZ145" i="3"/>
  <c r="AZ146" i="3" s="1"/>
  <c r="AZ148" i="3" s="1"/>
  <c r="AY171" i="3"/>
  <c r="AY170" i="3"/>
  <c r="AY173" i="3" s="1"/>
  <c r="AY172" i="3"/>
  <c r="AY174" i="3" s="1"/>
  <c r="BA188" i="3"/>
  <c r="BA189" i="3" s="1"/>
  <c r="BA190" i="3"/>
  <c r="BB163" i="3"/>
  <c r="BC158" i="3"/>
  <c r="BB162" i="3"/>
  <c r="AY195" i="3"/>
  <c r="AY197" i="3" s="1"/>
  <c r="AY193" i="3"/>
  <c r="AY196" i="3" s="1"/>
  <c r="AY194" i="3"/>
  <c r="BC181" i="3"/>
  <c r="BB185" i="3"/>
  <c r="BB186" i="3"/>
  <c r="AZ168" i="3"/>
  <c r="AZ169" i="3" s="1"/>
  <c r="AY147" i="3"/>
  <c r="AY150" i="3" s="1"/>
  <c r="AY148" i="3"/>
  <c r="AY149" i="3"/>
  <c r="AY151" i="3" s="1"/>
  <c r="BB139" i="3"/>
  <c r="BB140" i="3"/>
  <c r="BC135" i="3"/>
  <c r="BA165" i="3"/>
  <c r="BA166" i="3" s="1"/>
  <c r="BA167" i="3"/>
  <c r="AZ191" i="3"/>
  <c r="AZ192" i="3" s="1"/>
  <c r="BA142" i="3"/>
  <c r="BA143" i="3" s="1"/>
  <c r="BA144" i="3"/>
  <c r="EK64" i="7"/>
  <c r="EL64" i="7"/>
  <c r="EL82" i="7"/>
  <c r="EL107" i="7"/>
  <c r="X90" i="3"/>
  <c r="BH65" i="3"/>
  <c r="BH69" i="3" s="1"/>
  <c r="BE64" i="3"/>
  <c r="BE68" i="3" s="1"/>
  <c r="Z95" i="3"/>
  <c r="X53" i="3"/>
  <c r="BE13" i="3"/>
  <c r="BE17" i="3" s="1"/>
  <c r="BE12" i="3"/>
  <c r="BE16" i="3" s="1"/>
  <c r="Z53" i="3"/>
  <c r="BH41" i="3"/>
  <c r="BH45" i="3" s="1"/>
  <c r="Z69" i="3"/>
  <c r="BE41" i="3"/>
  <c r="BE45" i="3" s="1"/>
  <c r="Z74" i="3"/>
  <c r="X95" i="3"/>
  <c r="BE65" i="3"/>
  <c r="BE69" i="3" s="1"/>
  <c r="BH42" i="3"/>
  <c r="BH46" i="3" s="1"/>
  <c r="X69" i="3"/>
  <c r="BH64" i="3"/>
  <c r="BH68" i="3" s="1"/>
  <c r="Z90" i="3"/>
  <c r="BH12" i="3"/>
  <c r="BH16" i="3" s="1"/>
  <c r="Z48" i="3"/>
  <c r="BE42" i="3"/>
  <c r="BE46" i="3" s="1"/>
  <c r="X74" i="3"/>
  <c r="BH13" i="3"/>
  <c r="BH17" i="3" s="1"/>
  <c r="X48" i="3"/>
  <c r="EL182" i="7"/>
  <c r="EM179" i="7"/>
  <c r="EQ179" i="7" s="1"/>
  <c r="ER179" i="7" s="1"/>
  <c r="BJ33" i="7" s="1"/>
  <c r="EK189" i="7"/>
  <c r="EH166" i="7"/>
  <c r="EL166" i="7"/>
  <c r="EG83" i="7"/>
  <c r="EH83" i="7" s="1"/>
  <c r="EJ83" i="7" s="1"/>
  <c r="EM185" i="7"/>
  <c r="EQ185" i="7" s="1"/>
  <c r="ER185" i="7" s="1"/>
  <c r="BJ39" i="7" s="1"/>
  <c r="EM197" i="7"/>
  <c r="EQ197" i="7" s="1"/>
  <c r="ER197" i="7" s="1"/>
  <c r="BJ51" i="7" s="1"/>
  <c r="EK91" i="7"/>
  <c r="EL91" i="7"/>
  <c r="EL189" i="7"/>
  <c r="EM94" i="7"/>
  <c r="EQ94" i="7" s="1"/>
  <c r="ER94" i="7" s="1"/>
  <c r="X48" i="7" s="1"/>
  <c r="EN107" i="7"/>
  <c r="EG157" i="7"/>
  <c r="EH157" i="7" s="1"/>
  <c r="EJ157" i="7" s="1"/>
  <c r="EM175" i="7"/>
  <c r="EQ175" i="7" s="1"/>
  <c r="ER175" i="7" s="1"/>
  <c r="BJ29" i="7" s="1"/>
  <c r="EP95" i="7"/>
  <c r="EK167" i="7"/>
  <c r="EM58" i="7"/>
  <c r="EQ58" i="7" s="1"/>
  <c r="ER58" i="7" s="1"/>
  <c r="X12" i="7" s="1"/>
  <c r="EM107" i="7"/>
  <c r="EQ107" i="7" s="1"/>
  <c r="ER107" i="7" s="1"/>
  <c r="AQ11" i="7" s="1"/>
  <c r="AT11" i="7" s="1"/>
  <c r="EG120" i="7"/>
  <c r="EH120" i="7" s="1"/>
  <c r="EK120" i="7" s="1"/>
  <c r="EG192" i="7"/>
  <c r="EH192" i="7" s="1"/>
  <c r="EJ192" i="7" s="1"/>
  <c r="EK89" i="7"/>
  <c r="EL110" i="7"/>
  <c r="EK110" i="7"/>
  <c r="EM196" i="7"/>
  <c r="EQ196" i="7" s="1"/>
  <c r="ER196" i="7" s="1"/>
  <c r="BJ50" i="7" s="1"/>
  <c r="EG187" i="7"/>
  <c r="EH187" i="7" s="1"/>
  <c r="EK188" i="7"/>
  <c r="EG105" i="7"/>
  <c r="EH105" i="7" s="1"/>
  <c r="EJ105" i="7" s="1"/>
  <c r="EG114" i="7"/>
  <c r="EH114" i="7" s="1"/>
  <c r="EL188" i="7"/>
  <c r="EM127" i="7"/>
  <c r="EQ127" i="7" s="1"/>
  <c r="ER127" i="7" s="1"/>
  <c r="AQ31" i="7" s="1"/>
  <c r="EG67" i="7"/>
  <c r="EH67" i="7" s="1"/>
  <c r="EJ67" i="7" s="1"/>
  <c r="EL109" i="7"/>
  <c r="EG181" i="7"/>
  <c r="EH181" i="7" s="1"/>
  <c r="EJ181" i="7" s="1"/>
  <c r="EP94" i="7"/>
  <c r="EG65" i="7"/>
  <c r="EH65" i="7" s="1"/>
  <c r="EK65" i="7" s="1"/>
  <c r="EM95" i="7"/>
  <c r="EQ95" i="7" s="1"/>
  <c r="ER95" i="7" s="1"/>
  <c r="X49" i="7" s="1"/>
  <c r="EK171" i="7"/>
  <c r="EG71" i="7"/>
  <c r="EH71" i="7" s="1"/>
  <c r="EJ71" i="7" s="1"/>
  <c r="EG193" i="7"/>
  <c r="EH193" i="7" s="1"/>
  <c r="EJ193" i="7" s="1"/>
  <c r="EG136" i="7"/>
  <c r="EL177" i="7"/>
  <c r="EL171" i="7"/>
  <c r="EK106" i="7"/>
  <c r="EG100" i="7"/>
  <c r="EH100" i="7" s="1"/>
  <c r="EJ100" i="7" s="1"/>
  <c r="EL173" i="7"/>
  <c r="EK154" i="7"/>
  <c r="EM125" i="7"/>
  <c r="EQ125" i="7" s="1"/>
  <c r="ER125" i="7" s="1"/>
  <c r="AQ29" i="7" s="1"/>
  <c r="EM61" i="7"/>
  <c r="EQ61" i="7" s="1"/>
  <c r="ER61" i="7" s="1"/>
  <c r="X15" i="7" s="1"/>
  <c r="EL154" i="7"/>
  <c r="EJ177" i="7"/>
  <c r="EM177" i="7" s="1"/>
  <c r="EQ177" i="7" s="1"/>
  <c r="ER177" i="7" s="1"/>
  <c r="BJ31" i="7" s="1"/>
  <c r="EK195" i="7"/>
  <c r="EG85" i="7"/>
  <c r="EH85" i="7" s="1"/>
  <c r="EJ85" i="7" s="1"/>
  <c r="EL200" i="7"/>
  <c r="EL158" i="7"/>
  <c r="EG194" i="7"/>
  <c r="EH194" i="7" s="1"/>
  <c r="EJ194" i="7" s="1"/>
  <c r="EM178" i="7"/>
  <c r="EQ178" i="7" s="1"/>
  <c r="ER178" i="7" s="1"/>
  <c r="BJ32" i="7" s="1"/>
  <c r="EM138" i="7"/>
  <c r="EQ138" i="7" s="1"/>
  <c r="ER138" i="7" s="1"/>
  <c r="AQ42" i="7" s="1"/>
  <c r="EK200" i="7"/>
  <c r="EJ182" i="7"/>
  <c r="EK182" i="7"/>
  <c r="EH190" i="7"/>
  <c r="EL190" i="7"/>
  <c r="EH90" i="7"/>
  <c r="EJ90" i="7" s="1"/>
  <c r="EL90" i="7"/>
  <c r="EL144" i="7"/>
  <c r="EK109" i="7"/>
  <c r="EJ109" i="7"/>
  <c r="EH206" i="7"/>
  <c r="EL206" i="7"/>
  <c r="EJ195" i="7"/>
  <c r="EG140" i="7"/>
  <c r="EH140" i="7" s="1"/>
  <c r="EJ140" i="7" s="1"/>
  <c r="EK73" i="7"/>
  <c r="EG151" i="7"/>
  <c r="EH151" i="7" s="1"/>
  <c r="EJ151" i="7" s="1"/>
  <c r="EM123" i="7"/>
  <c r="EQ123" i="7" s="1"/>
  <c r="ER123" i="7" s="1"/>
  <c r="AQ27" i="7" s="1"/>
  <c r="EK161" i="7"/>
  <c r="EL111" i="7"/>
  <c r="EK186" i="7"/>
  <c r="EK158" i="7"/>
  <c r="EG150" i="7"/>
  <c r="EH150" i="7" s="1"/>
  <c r="EJ150" i="7" s="1"/>
  <c r="EL195" i="7"/>
  <c r="EK111" i="7"/>
  <c r="EL161" i="7"/>
  <c r="EM203" i="7"/>
  <c r="EQ203" i="7" s="1"/>
  <c r="ER203" i="7" s="1"/>
  <c r="BJ57" i="7" s="1"/>
  <c r="EL89" i="7"/>
  <c r="EK173" i="7"/>
  <c r="EJ173" i="7"/>
  <c r="EJ57" i="7"/>
  <c r="EG77" i="7"/>
  <c r="EH77" i="7" s="1"/>
  <c r="EG113" i="7"/>
  <c r="EH113" i="7" s="1"/>
  <c r="EK113" i="7" s="1"/>
  <c r="EH131" i="7"/>
  <c r="EL131" i="7"/>
  <c r="EL108" i="7"/>
  <c r="EH60" i="7"/>
  <c r="EJ60" i="7" s="1"/>
  <c r="EL60" i="7"/>
  <c r="EL99" i="7"/>
  <c r="EG176" i="7"/>
  <c r="EH176" i="7" s="1"/>
  <c r="EH66" i="7"/>
  <c r="EL66" i="7"/>
  <c r="EH117" i="7"/>
  <c r="EL117" i="7"/>
  <c r="EJ162" i="7"/>
  <c r="EK162" i="7"/>
  <c r="EG184" i="7"/>
  <c r="EH184" i="7" s="1"/>
  <c r="EJ184" i="7" s="1"/>
  <c r="EJ68" i="7"/>
  <c r="EK68" i="7"/>
  <c r="EL172" i="7"/>
  <c r="EL129" i="7"/>
  <c r="EG156" i="7"/>
  <c r="ED139" i="7"/>
  <c r="ED97" i="7"/>
  <c r="EG97" i="7" s="1"/>
  <c r="EH97" i="7" s="1"/>
  <c r="EJ75" i="7"/>
  <c r="EJ152" i="7"/>
  <c r="EE122" i="7"/>
  <c r="EG143" i="7"/>
  <c r="EG116" i="7"/>
  <c r="EH92" i="7"/>
  <c r="EL92" i="7"/>
  <c r="EK119" i="7"/>
  <c r="EJ119" i="7"/>
  <c r="EE145" i="7"/>
  <c r="ED130" i="7"/>
  <c r="EG59" i="7"/>
  <c r="EH59" i="7" s="1"/>
  <c r="EJ59" i="7" s="1"/>
  <c r="EJ144" i="7"/>
  <c r="EK144" i="7"/>
  <c r="EH93" i="7"/>
  <c r="EL93" i="7"/>
  <c r="EG76" i="7"/>
  <c r="EH76" i="7" s="1"/>
  <c r="EJ76" i="7" s="1"/>
  <c r="ED145" i="7"/>
  <c r="EG145" i="7" s="1"/>
  <c r="EH145" i="7" s="1"/>
  <c r="EL163" i="7"/>
  <c r="EF130" i="7"/>
  <c r="EI130" i="7" s="1"/>
  <c r="EH137" i="7"/>
  <c r="EJ137" i="7" s="1"/>
  <c r="EL137" i="7"/>
  <c r="EE72" i="7"/>
  <c r="EL57" i="7"/>
  <c r="EK129" i="7"/>
  <c r="EE84" i="7"/>
  <c r="EE97" i="7"/>
  <c r="EE135" i="7"/>
  <c r="EH102" i="7"/>
  <c r="EL102" i="7"/>
  <c r="EK164" i="7"/>
  <c r="EK172" i="7"/>
  <c r="EG204" i="7"/>
  <c r="EG147" i="7"/>
  <c r="EH147" i="7" s="1"/>
  <c r="EJ147" i="7" s="1"/>
  <c r="EG126" i="7"/>
  <c r="EK86" i="7"/>
  <c r="EH103" i="7"/>
  <c r="EL103" i="7"/>
  <c r="EH88" i="7"/>
  <c r="EL88" i="7"/>
  <c r="EF141" i="7"/>
  <c r="EI141" i="7" s="1"/>
  <c r="EF122" i="7"/>
  <c r="EI122" i="7" s="1"/>
  <c r="EE134" i="7"/>
  <c r="EG101" i="7"/>
  <c r="EF74" i="7"/>
  <c r="EI74" i="7" s="1"/>
  <c r="EK152" i="7"/>
  <c r="EN152" i="7" s="1"/>
  <c r="EE202" i="7"/>
  <c r="EG165" i="7"/>
  <c r="EK87" i="7"/>
  <c r="EJ87" i="7"/>
  <c r="EL121" i="7"/>
  <c r="EJ108" i="7"/>
  <c r="EK99" i="7"/>
  <c r="EL180" i="7"/>
  <c r="EF80" i="7"/>
  <c r="EI80" i="7" s="1"/>
  <c r="EL152" i="7"/>
  <c r="EG149" i="7"/>
  <c r="EH149" i="7" s="1"/>
  <c r="EJ149" i="7" s="1"/>
  <c r="ED202" i="7"/>
  <c r="EG202" i="7" s="1"/>
  <c r="EH202" i="7" s="1"/>
  <c r="EL86" i="7"/>
  <c r="EF79" i="7"/>
  <c r="EI79" i="7" s="1"/>
  <c r="EK170" i="7"/>
  <c r="EE80" i="7"/>
  <c r="ED134" i="7"/>
  <c r="EG134" i="7" s="1"/>
  <c r="EH134" i="7" s="1"/>
  <c r="EJ163" i="7"/>
  <c r="EK81" i="7"/>
  <c r="EK201" i="7"/>
  <c r="ED74" i="7"/>
  <c r="EE115" i="7"/>
  <c r="EK163" i="7"/>
  <c r="EL81" i="7"/>
  <c r="EL106" i="7"/>
  <c r="EG78" i="7"/>
  <c r="EH78" i="7" s="1"/>
  <c r="EJ78" i="7" s="1"/>
  <c r="EK146" i="7"/>
  <c r="EL164" i="7"/>
  <c r="EK63" i="7"/>
  <c r="EJ121" i="7"/>
  <c r="EK180" i="7"/>
  <c r="EK108" i="7"/>
  <c r="EK75" i="7"/>
  <c r="ED133" i="7"/>
  <c r="EE124" i="7"/>
  <c r="EE174" i="7"/>
  <c r="EG148" i="7"/>
  <c r="EH148" i="7" s="1"/>
  <c r="EJ148" i="7" s="1"/>
  <c r="EE79" i="7"/>
  <c r="EE183" i="7"/>
  <c r="EL75" i="7"/>
  <c r="EL201" i="7"/>
  <c r="EG104" i="7"/>
  <c r="EH104" i="7" s="1"/>
  <c r="EJ104" i="7" s="1"/>
  <c r="EK121" i="7"/>
  <c r="EL170" i="7"/>
  <c r="EL63" i="7"/>
  <c r="EJ82" i="7"/>
  <c r="EK82" i="7"/>
  <c r="EG205" i="7"/>
  <c r="EH205" i="7" s="1"/>
  <c r="EJ205" i="7" s="1"/>
  <c r="EE141" i="7"/>
  <c r="ED72" i="7"/>
  <c r="EG72" i="7" s="1"/>
  <c r="EH72" i="7" s="1"/>
  <c r="EF133" i="7"/>
  <c r="EI133" i="7" s="1"/>
  <c r="EF124" i="7"/>
  <c r="EI124" i="7" s="1"/>
  <c r="EF139" i="7"/>
  <c r="EI139" i="7" s="1"/>
  <c r="ED84" i="7"/>
  <c r="EG84" i="7" s="1"/>
  <c r="EH84" i="7" s="1"/>
  <c r="EL146" i="7"/>
  <c r="EF183" i="7"/>
  <c r="EI183" i="7" s="1"/>
  <c r="ED135" i="7"/>
  <c r="EG135" i="7" s="1"/>
  <c r="EH135" i="7" s="1"/>
  <c r="EJ172" i="7"/>
  <c r="EK57" i="7"/>
  <c r="EF115" i="7"/>
  <c r="EI115" i="7" s="1"/>
  <c r="EF174" i="7"/>
  <c r="EI174" i="7" s="1"/>
  <c r="EG142" i="7"/>
  <c r="EH142" i="7" s="1"/>
  <c r="EJ142" i="7" s="1"/>
  <c r="EP61" i="7" l="1"/>
  <c r="EO138" i="7"/>
  <c r="EP196" i="7"/>
  <c r="EP185" i="7"/>
  <c r="EL176" i="7"/>
  <c r="CA14" i="7"/>
  <c r="R14" i="7" s="1"/>
  <c r="CA22" i="7"/>
  <c r="R22" i="7" s="1"/>
  <c r="AO50" i="7"/>
  <c r="L50" i="7" s="1"/>
  <c r="CA53" i="7"/>
  <c r="R53" i="7" s="1"/>
  <c r="AZ42" i="7"/>
  <c r="BC42" i="7" s="1"/>
  <c r="N42" i="7" s="1"/>
  <c r="BE42" i="7"/>
  <c r="BF42" i="7"/>
  <c r="BG42" i="7" s="1"/>
  <c r="BX31" i="7"/>
  <c r="BY31" i="7"/>
  <c r="BZ31" i="7" s="1"/>
  <c r="BS31" i="7"/>
  <c r="BV31" i="7" s="1"/>
  <c r="Q31" i="7" s="1"/>
  <c r="BY50" i="7"/>
  <c r="BZ50" i="7" s="1"/>
  <c r="BS50" i="7"/>
  <c r="BV50" i="7" s="1"/>
  <c r="Q50" i="7" s="1"/>
  <c r="BX50" i="7"/>
  <c r="CA50" i="7" s="1"/>
  <c r="R50" i="7" s="1"/>
  <c r="AA12" i="7"/>
  <c r="AD12" i="7" s="1"/>
  <c r="J12" i="7" s="1"/>
  <c r="AG12" i="7"/>
  <c r="AJ12" i="7" s="1"/>
  <c r="AL12" i="7"/>
  <c r="AM12" i="7"/>
  <c r="AN12" i="7" s="1"/>
  <c r="BS29" i="7"/>
  <c r="BV29" i="7" s="1"/>
  <c r="Q29" i="7" s="1"/>
  <c r="BY29" i="7"/>
  <c r="BZ29" i="7" s="1"/>
  <c r="BX29" i="7"/>
  <c r="BS39" i="7"/>
  <c r="BV39" i="7" s="1"/>
  <c r="Q39" i="7" s="1"/>
  <c r="BX39" i="7"/>
  <c r="BY39" i="7"/>
  <c r="BZ39" i="7" s="1"/>
  <c r="AM23" i="7"/>
  <c r="AN23" i="7" s="1"/>
  <c r="AG23" i="7"/>
  <c r="AJ23" i="7" s="1"/>
  <c r="K23" i="7" s="1"/>
  <c r="AL23" i="7"/>
  <c r="AA23" i="7"/>
  <c r="AD23" i="7" s="1"/>
  <c r="AA24" i="7"/>
  <c r="AD24" i="7" s="1"/>
  <c r="AG24" i="7"/>
  <c r="AJ24" i="7" s="1"/>
  <c r="K24" i="7" s="1"/>
  <c r="AM24" i="7"/>
  <c r="AN24" i="7" s="1"/>
  <c r="AL24" i="7"/>
  <c r="BX57" i="7"/>
  <c r="BS57" i="7"/>
  <c r="BV57" i="7" s="1"/>
  <c r="Q57" i="7" s="1"/>
  <c r="BY57" i="7"/>
  <c r="BZ57" i="7" s="1"/>
  <c r="BS32" i="7"/>
  <c r="BV32" i="7" s="1"/>
  <c r="Q32" i="7" s="1"/>
  <c r="BX32" i="7"/>
  <c r="BY32" i="7"/>
  <c r="BZ32" i="7" s="1"/>
  <c r="BS33" i="7"/>
  <c r="BV33" i="7" s="1"/>
  <c r="Q33" i="7" s="1"/>
  <c r="BY33" i="7"/>
  <c r="BZ33" i="7" s="1"/>
  <c r="BX33" i="7"/>
  <c r="BE36" i="7"/>
  <c r="BF36" i="7"/>
  <c r="BG36" i="7" s="1"/>
  <c r="AZ36" i="7"/>
  <c r="BC36" i="7" s="1"/>
  <c r="N36" i="7" s="1"/>
  <c r="BF59" i="7"/>
  <c r="BG59" i="7" s="1"/>
  <c r="AZ59" i="7"/>
  <c r="BC59" i="7" s="1"/>
  <c r="N59" i="7" s="1"/>
  <c r="BE59" i="7"/>
  <c r="BH59" i="7" s="1"/>
  <c r="BF57" i="7"/>
  <c r="BG57" i="7" s="1"/>
  <c r="BE57" i="7"/>
  <c r="BH57" i="7" s="1"/>
  <c r="AZ57" i="7"/>
  <c r="BC57" i="7" s="1"/>
  <c r="N57" i="7" s="1"/>
  <c r="EO175" i="7"/>
  <c r="EP125" i="7"/>
  <c r="EO155" i="7"/>
  <c r="AA15" i="7"/>
  <c r="AD15" i="7" s="1"/>
  <c r="AG15" i="7"/>
  <c r="AJ15" i="7" s="1"/>
  <c r="K15" i="7" s="1"/>
  <c r="AM15" i="7"/>
  <c r="AN15" i="7" s="1"/>
  <c r="AL15" i="7"/>
  <c r="EO98" i="7"/>
  <c r="BF31" i="7"/>
  <c r="BG31" i="7" s="1"/>
  <c r="AZ31" i="7"/>
  <c r="BC31" i="7" s="1"/>
  <c r="N31" i="7" s="1"/>
  <c r="BE31" i="7"/>
  <c r="AM52" i="7"/>
  <c r="AN52" i="7" s="1"/>
  <c r="AG52" i="7"/>
  <c r="AJ52" i="7" s="1"/>
  <c r="K52" i="7" s="1"/>
  <c r="AA52" i="7"/>
  <c r="AD52" i="7" s="1"/>
  <c r="AL52" i="7"/>
  <c r="BF22" i="7"/>
  <c r="BG22" i="7" s="1"/>
  <c r="AZ22" i="7"/>
  <c r="BC22" i="7" s="1"/>
  <c r="N22" i="7" s="1"/>
  <c r="BE22" i="7"/>
  <c r="CA45" i="7"/>
  <c r="R45" i="7" s="1"/>
  <c r="BF27" i="7"/>
  <c r="BG27" i="7" s="1"/>
  <c r="BE27" i="7"/>
  <c r="AZ27" i="7"/>
  <c r="BC27" i="7" s="1"/>
  <c r="N27" i="7" s="1"/>
  <c r="AZ29" i="7"/>
  <c r="BC29" i="7" s="1"/>
  <c r="N29" i="7" s="1"/>
  <c r="BF29" i="7"/>
  <c r="BG29" i="7" s="1"/>
  <c r="BE29" i="7"/>
  <c r="AM49" i="7"/>
  <c r="AN49" i="7" s="1"/>
  <c r="AL49" i="7"/>
  <c r="AO49" i="7" s="1"/>
  <c r="L49" i="7" s="1"/>
  <c r="AG49" i="7"/>
  <c r="AJ49" i="7" s="1"/>
  <c r="K49" i="7" s="1"/>
  <c r="AA49" i="7"/>
  <c r="AD49" i="7" s="1"/>
  <c r="AM48" i="7"/>
  <c r="AN48" i="7" s="1"/>
  <c r="AG48" i="7"/>
  <c r="AJ48" i="7" s="1"/>
  <c r="K48" i="7" s="1"/>
  <c r="AA48" i="7"/>
  <c r="AD48" i="7" s="1"/>
  <c r="AL48" i="7"/>
  <c r="BY51" i="7"/>
  <c r="BZ51" i="7" s="1"/>
  <c r="BX51" i="7"/>
  <c r="BS51" i="7"/>
  <c r="BV51" i="7" s="1"/>
  <c r="Q51" i="7" s="1"/>
  <c r="EO178" i="7"/>
  <c r="AG16" i="7"/>
  <c r="AJ16" i="7" s="1"/>
  <c r="K16" i="7" s="1"/>
  <c r="AL16" i="7"/>
  <c r="AA16" i="7"/>
  <c r="AD16" i="7" s="1"/>
  <c r="AM16" i="7"/>
  <c r="AN16" i="7" s="1"/>
  <c r="BF16" i="7"/>
  <c r="BG16" i="7" s="1"/>
  <c r="AZ16" i="7"/>
  <c r="BC16" i="7" s="1"/>
  <c r="N16" i="7" s="1"/>
  <c r="BE16" i="7"/>
  <c r="BS13" i="7"/>
  <c r="BV13" i="7" s="1"/>
  <c r="Q13" i="7" s="1"/>
  <c r="BX13" i="7"/>
  <c r="BY13" i="7"/>
  <c r="BZ13" i="7" s="1"/>
  <c r="CA52" i="7"/>
  <c r="R52" i="7" s="1"/>
  <c r="BH32" i="7"/>
  <c r="O32" i="7" s="1"/>
  <c r="CA23" i="7"/>
  <c r="R23" i="7" s="1"/>
  <c r="EP127" i="7"/>
  <c r="EP112" i="7"/>
  <c r="EP69" i="7"/>
  <c r="EO169" i="7"/>
  <c r="EO179" i="7"/>
  <c r="EO123" i="7"/>
  <c r="EN173" i="7"/>
  <c r="EP173" i="7" s="1"/>
  <c r="EP197" i="7"/>
  <c r="EN82" i="7"/>
  <c r="EO82" i="7" s="1"/>
  <c r="EN121" i="7"/>
  <c r="EO121" i="7" s="1"/>
  <c r="EN68" i="7"/>
  <c r="EP68" i="7" s="1"/>
  <c r="EO132" i="7"/>
  <c r="EN163" i="7"/>
  <c r="EO163" i="7" s="1"/>
  <c r="EN119" i="7"/>
  <c r="EO119" i="7" s="1"/>
  <c r="EN109" i="7"/>
  <c r="EP109" i="7" s="1"/>
  <c r="EP203" i="7"/>
  <c r="EM188" i="7"/>
  <c r="EQ188" i="7" s="1"/>
  <c r="ER188" i="7" s="1"/>
  <c r="BJ42" i="7" s="1"/>
  <c r="EN188" i="7"/>
  <c r="EP188" i="7" s="1"/>
  <c r="EO70" i="7"/>
  <c r="EM99" i="7"/>
  <c r="EQ99" i="7" s="1"/>
  <c r="ER99" i="7" s="1"/>
  <c r="X53" i="7" s="1"/>
  <c r="EN99" i="7"/>
  <c r="EO99" i="7" s="1"/>
  <c r="EM200" i="7"/>
  <c r="EQ200" i="7" s="1"/>
  <c r="ER200" i="7" s="1"/>
  <c r="BJ54" i="7" s="1"/>
  <c r="EN200" i="7"/>
  <c r="EO200" i="7" s="1"/>
  <c r="EO159" i="7"/>
  <c r="EO58" i="7"/>
  <c r="EM201" i="7"/>
  <c r="EQ201" i="7" s="1"/>
  <c r="ER201" i="7" s="1"/>
  <c r="BJ55" i="7" s="1"/>
  <c r="EN201" i="7"/>
  <c r="EO201" i="7" s="1"/>
  <c r="EM164" i="7"/>
  <c r="EQ164" i="7" s="1"/>
  <c r="ER164" i="7" s="1"/>
  <c r="BJ18" i="7" s="1"/>
  <c r="BM18" i="7" s="1"/>
  <c r="BP18" i="7" s="1"/>
  <c r="P18" i="7" s="1"/>
  <c r="EN164" i="7"/>
  <c r="EP164" i="7" s="1"/>
  <c r="EM129" i="7"/>
  <c r="EQ129" i="7" s="1"/>
  <c r="ER129" i="7" s="1"/>
  <c r="AQ33" i="7" s="1"/>
  <c r="EN129" i="7"/>
  <c r="EP129" i="7" s="1"/>
  <c r="EM111" i="7"/>
  <c r="EQ111" i="7" s="1"/>
  <c r="ER111" i="7" s="1"/>
  <c r="AQ15" i="7" s="1"/>
  <c r="AT15" i="7" s="1"/>
  <c r="EN111" i="7"/>
  <c r="EO111" i="7" s="1"/>
  <c r="EM186" i="7"/>
  <c r="EQ186" i="7" s="1"/>
  <c r="ER186" i="7" s="1"/>
  <c r="BJ40" i="7" s="1"/>
  <c r="EN186" i="7"/>
  <c r="EN182" i="7"/>
  <c r="EO182" i="7" s="1"/>
  <c r="EM154" i="7"/>
  <c r="EQ154" i="7" s="1"/>
  <c r="ER154" i="7" s="1"/>
  <c r="AQ58" i="7" s="1"/>
  <c r="EN154" i="7"/>
  <c r="EO154" i="7" s="1"/>
  <c r="EO62" i="7"/>
  <c r="EM110" i="7"/>
  <c r="EQ110" i="7" s="1"/>
  <c r="ER110" i="7" s="1"/>
  <c r="AQ14" i="7" s="1"/>
  <c r="AT14" i="7" s="1"/>
  <c r="EN110" i="7"/>
  <c r="EO110" i="7" s="1"/>
  <c r="EM89" i="7"/>
  <c r="EQ89" i="7" s="1"/>
  <c r="ER89" i="7" s="1"/>
  <c r="X43" i="7" s="1"/>
  <c r="EN89" i="7"/>
  <c r="EO89" i="7" s="1"/>
  <c r="EM91" i="7"/>
  <c r="EQ91" i="7" s="1"/>
  <c r="ER91" i="7" s="1"/>
  <c r="X45" i="7" s="1"/>
  <c r="EN91" i="7"/>
  <c r="EO91" i="7" s="1"/>
  <c r="EP153" i="7"/>
  <c r="EP118" i="7"/>
  <c r="EM180" i="7"/>
  <c r="EQ180" i="7" s="1"/>
  <c r="ER180" i="7" s="1"/>
  <c r="BJ34" i="7" s="1"/>
  <c r="EN180" i="7"/>
  <c r="EO180" i="7" s="1"/>
  <c r="EM146" i="7"/>
  <c r="EQ146" i="7" s="1"/>
  <c r="ER146" i="7" s="1"/>
  <c r="AQ50" i="7" s="1"/>
  <c r="EN146" i="7"/>
  <c r="EO146" i="7" s="1"/>
  <c r="EM81" i="7"/>
  <c r="EQ81" i="7" s="1"/>
  <c r="ER81" i="7" s="1"/>
  <c r="X35" i="7" s="1"/>
  <c r="EN81" i="7"/>
  <c r="EP81" i="7" s="1"/>
  <c r="EM170" i="7"/>
  <c r="EQ170" i="7" s="1"/>
  <c r="ER170" i="7" s="1"/>
  <c r="BJ24" i="7" s="1"/>
  <c r="EN170" i="7"/>
  <c r="EO170" i="7" s="1"/>
  <c r="EM73" i="7"/>
  <c r="EQ73" i="7" s="1"/>
  <c r="ER73" i="7" s="1"/>
  <c r="X27" i="7" s="1"/>
  <c r="EN73" i="7"/>
  <c r="EN87" i="7"/>
  <c r="EM161" i="7"/>
  <c r="EQ161" i="7" s="1"/>
  <c r="ER161" i="7" s="1"/>
  <c r="BJ15" i="7" s="1"/>
  <c r="BM15" i="7" s="1"/>
  <c r="EN161" i="7"/>
  <c r="EP161" i="7" s="1"/>
  <c r="EM167" i="7"/>
  <c r="EQ167" i="7" s="1"/>
  <c r="ER167" i="7" s="1"/>
  <c r="BJ21" i="7" s="1"/>
  <c r="BM21" i="7" s="1"/>
  <c r="BP21" i="7" s="1"/>
  <c r="P21" i="7" s="1"/>
  <c r="EN167" i="7"/>
  <c r="EN75" i="7"/>
  <c r="EO75" i="7" s="1"/>
  <c r="EM63" i="7"/>
  <c r="EQ63" i="7" s="1"/>
  <c r="ER63" i="7" s="1"/>
  <c r="X17" i="7" s="1"/>
  <c r="EN63" i="7"/>
  <c r="EO63" i="7" s="1"/>
  <c r="EM86" i="7"/>
  <c r="EQ86" i="7" s="1"/>
  <c r="ER86" i="7" s="1"/>
  <c r="X40" i="7" s="1"/>
  <c r="EN86" i="7"/>
  <c r="EP86" i="7" s="1"/>
  <c r="EN172" i="7"/>
  <c r="EP172" i="7" s="1"/>
  <c r="EN144" i="7"/>
  <c r="EP144" i="7" s="1"/>
  <c r="EN162" i="7"/>
  <c r="EN195" i="7"/>
  <c r="EO195" i="7" s="1"/>
  <c r="EM171" i="7"/>
  <c r="EQ171" i="7" s="1"/>
  <c r="ER171" i="7" s="1"/>
  <c r="BJ25" i="7" s="1"/>
  <c r="EN171" i="7"/>
  <c r="EO171" i="7" s="1"/>
  <c r="EM189" i="7"/>
  <c r="EQ189" i="7" s="1"/>
  <c r="ER189" i="7" s="1"/>
  <c r="BJ43" i="7" s="1"/>
  <c r="EN189" i="7"/>
  <c r="EO189" i="7" s="1"/>
  <c r="EM64" i="7"/>
  <c r="EQ64" i="7" s="1"/>
  <c r="ER64" i="7" s="1"/>
  <c r="X18" i="7" s="1"/>
  <c r="EN64" i="7"/>
  <c r="EP64" i="7" s="1"/>
  <c r="J50" i="7"/>
  <c r="EN177" i="7"/>
  <c r="EO177" i="7" s="1"/>
  <c r="EM106" i="7"/>
  <c r="EQ106" i="7" s="1"/>
  <c r="ER106" i="7" s="1"/>
  <c r="X60" i="7" s="1"/>
  <c r="EN106" i="7"/>
  <c r="EO106" i="7" s="1"/>
  <c r="EM158" i="7"/>
  <c r="EQ158" i="7" s="1"/>
  <c r="ER158" i="7" s="1"/>
  <c r="BJ12" i="7" s="1"/>
  <c r="BM12" i="7" s="1"/>
  <c r="BP12" i="7" s="1"/>
  <c r="P12" i="7" s="1"/>
  <c r="EN158" i="7"/>
  <c r="EP158" i="7" s="1"/>
  <c r="EN108" i="7"/>
  <c r="EP108" i="7" s="1"/>
  <c r="AY152" i="3"/>
  <c r="AB632" i="6"/>
  <c r="AY198" i="3"/>
  <c r="AB656" i="6"/>
  <c r="AY175" i="3"/>
  <c r="AB644" i="6"/>
  <c r="BA145" i="3"/>
  <c r="BA146" i="3" s="1"/>
  <c r="BA147" i="3" s="1"/>
  <c r="BA150" i="3" s="1"/>
  <c r="BA152" i="3" s="1"/>
  <c r="AZ149" i="3"/>
  <c r="AZ151" i="3" s="1"/>
  <c r="AZ147" i="3"/>
  <c r="AZ150" i="3" s="1"/>
  <c r="BB188" i="3"/>
  <c r="BB189" i="3" s="1"/>
  <c r="BB190" i="3"/>
  <c r="BC163" i="3"/>
  <c r="BC162" i="3"/>
  <c r="BD158" i="3"/>
  <c r="BC140" i="3"/>
  <c r="BD135" i="3"/>
  <c r="BC139" i="3"/>
  <c r="BB167" i="3"/>
  <c r="BB165" i="3"/>
  <c r="BB166" i="3" s="1"/>
  <c r="AZ195" i="3"/>
  <c r="AZ197" i="3" s="1"/>
  <c r="AZ193" i="3"/>
  <c r="AZ196" i="3" s="1"/>
  <c r="AZ194" i="3"/>
  <c r="BB144" i="3"/>
  <c r="BB142" i="3"/>
  <c r="BB143" i="3" s="1"/>
  <c r="BD181" i="3"/>
  <c r="BC186" i="3"/>
  <c r="BC185" i="3"/>
  <c r="BA191" i="3"/>
  <c r="BA192" i="3" s="1"/>
  <c r="BA168" i="3"/>
  <c r="BA169" i="3" s="1"/>
  <c r="AZ172" i="3"/>
  <c r="AZ174" i="3" s="1"/>
  <c r="AZ171" i="3"/>
  <c r="AZ170" i="3"/>
  <c r="AZ173" i="3" s="1"/>
  <c r="AW11" i="7"/>
  <c r="M11" i="7" s="1"/>
  <c r="EJ120" i="7"/>
  <c r="EM120" i="7" s="1"/>
  <c r="EQ120" i="7" s="1"/>
  <c r="ER120" i="7" s="1"/>
  <c r="AQ24" i="7" s="1"/>
  <c r="EO107" i="7"/>
  <c r="BE28" i="3"/>
  <c r="BE26" i="3"/>
  <c r="BE27" i="3" s="1"/>
  <c r="BH28" i="3"/>
  <c r="BH26" i="3"/>
  <c r="BH27" i="3" s="1"/>
  <c r="BE50" i="3"/>
  <c r="BE51" i="3" s="1"/>
  <c r="BE52" i="3"/>
  <c r="BE75" i="3"/>
  <c r="BE73" i="3"/>
  <c r="BE74" i="3" s="1"/>
  <c r="BH73" i="3"/>
  <c r="BH74" i="3" s="1"/>
  <c r="BH75" i="3"/>
  <c r="BH52" i="3"/>
  <c r="BH50" i="3"/>
  <c r="BH51" i="3" s="1"/>
  <c r="EK83" i="7"/>
  <c r="EL83" i="7"/>
  <c r="EP107" i="7"/>
  <c r="EK166" i="7"/>
  <c r="EJ166" i="7"/>
  <c r="EL192" i="7"/>
  <c r="EL157" i="7"/>
  <c r="BE11" i="7"/>
  <c r="EK157" i="7"/>
  <c r="EN157" i="7" s="1"/>
  <c r="EK192" i="7"/>
  <c r="EL120" i="7"/>
  <c r="EL187" i="7"/>
  <c r="EK193" i="7"/>
  <c r="EL113" i="7"/>
  <c r="EK67" i="7"/>
  <c r="AZ11" i="7"/>
  <c r="EL67" i="7"/>
  <c r="BF11" i="7"/>
  <c r="BG11" i="7" s="1"/>
  <c r="EJ65" i="7"/>
  <c r="EM65" i="7" s="1"/>
  <c r="EQ65" i="7" s="1"/>
  <c r="ER65" i="7" s="1"/>
  <c r="X19" i="7" s="1"/>
  <c r="EL65" i="7"/>
  <c r="EK181" i="7"/>
  <c r="EK105" i="7"/>
  <c r="EM195" i="7"/>
  <c r="EQ195" i="7" s="1"/>
  <c r="ER195" i="7" s="1"/>
  <c r="BJ49" i="7" s="1"/>
  <c r="EL105" i="7"/>
  <c r="EJ187" i="7"/>
  <c r="EK187" i="7"/>
  <c r="EK76" i="7"/>
  <c r="EL193" i="7"/>
  <c r="EG130" i="7"/>
  <c r="EH130" i="7" s="1"/>
  <c r="EJ130" i="7" s="1"/>
  <c r="EL181" i="7"/>
  <c r="EL134" i="7"/>
  <c r="EJ114" i="7"/>
  <c r="EK114" i="7"/>
  <c r="EK150" i="7"/>
  <c r="EL114" i="7"/>
  <c r="EK71" i="7"/>
  <c r="EK100" i="7"/>
  <c r="EL194" i="7"/>
  <c r="EL100" i="7"/>
  <c r="EL77" i="7"/>
  <c r="EH136" i="7"/>
  <c r="EL136" i="7"/>
  <c r="EJ145" i="7"/>
  <c r="EL71" i="7"/>
  <c r="EK194" i="7"/>
  <c r="EM173" i="7"/>
  <c r="EQ173" i="7" s="1"/>
  <c r="ER173" i="7" s="1"/>
  <c r="BJ27" i="7" s="1"/>
  <c r="EL85" i="7"/>
  <c r="EK85" i="7"/>
  <c r="EM152" i="7"/>
  <c r="EQ152" i="7" s="1"/>
  <c r="ER152" i="7" s="1"/>
  <c r="AQ56" i="7" s="1"/>
  <c r="EJ134" i="7"/>
  <c r="EM182" i="7"/>
  <c r="EQ182" i="7" s="1"/>
  <c r="ER182" i="7" s="1"/>
  <c r="BJ36" i="7" s="1"/>
  <c r="EM75" i="7"/>
  <c r="EQ75" i="7" s="1"/>
  <c r="ER75" i="7" s="1"/>
  <c r="X29" i="7" s="1"/>
  <c r="EL59" i="7"/>
  <c r="EK151" i="7"/>
  <c r="EJ77" i="7"/>
  <c r="EK77" i="7"/>
  <c r="EJ84" i="7"/>
  <c r="EK60" i="7"/>
  <c r="EM172" i="7"/>
  <c r="EQ172" i="7" s="1"/>
  <c r="ER172" i="7" s="1"/>
  <c r="BJ26" i="7" s="1"/>
  <c r="EK78" i="7"/>
  <c r="EK90" i="7"/>
  <c r="EL151" i="7"/>
  <c r="EG122" i="7"/>
  <c r="EL150" i="7"/>
  <c r="EJ206" i="7"/>
  <c r="EK206" i="7"/>
  <c r="EK137" i="7"/>
  <c r="EJ135" i="7"/>
  <c r="EK59" i="7"/>
  <c r="EL140" i="7"/>
  <c r="EM109" i="7"/>
  <c r="EQ109" i="7" s="1"/>
  <c r="ER109" i="7" s="1"/>
  <c r="AQ13" i="7" s="1"/>
  <c r="EG74" i="7"/>
  <c r="EK140" i="7"/>
  <c r="EJ113" i="7"/>
  <c r="EM113" i="7" s="1"/>
  <c r="EQ113" i="7" s="1"/>
  <c r="ER113" i="7" s="1"/>
  <c r="AQ17" i="7" s="1"/>
  <c r="AT17" i="7" s="1"/>
  <c r="AW17" i="7" s="1"/>
  <c r="M17" i="7" s="1"/>
  <c r="EK190" i="7"/>
  <c r="EN190" i="7" s="1"/>
  <c r="EO190" i="7" s="1"/>
  <c r="EJ190" i="7"/>
  <c r="EM57" i="7"/>
  <c r="EQ57" i="7" s="1"/>
  <c r="ER57" i="7" s="1"/>
  <c r="X11" i="7" s="1"/>
  <c r="EN57" i="7"/>
  <c r="EP57" i="7" s="1"/>
  <c r="EJ131" i="7"/>
  <c r="EK131" i="7"/>
  <c r="EM121" i="7"/>
  <c r="EQ121" i="7" s="1"/>
  <c r="ER121" i="7" s="1"/>
  <c r="AQ25" i="7" s="1"/>
  <c r="EM162" i="7"/>
  <c r="EQ162" i="7" s="1"/>
  <c r="ER162" i="7" s="1"/>
  <c r="BJ16" i="7" s="1"/>
  <c r="BM16" i="7" s="1"/>
  <c r="BP16" i="7" s="1"/>
  <c r="P16" i="7" s="1"/>
  <c r="EK66" i="7"/>
  <c r="EJ66" i="7"/>
  <c r="EL184" i="7"/>
  <c r="EK117" i="7"/>
  <c r="EJ117" i="7"/>
  <c r="EL76" i="7"/>
  <c r="EK184" i="7"/>
  <c r="EG141" i="7"/>
  <c r="EM68" i="7"/>
  <c r="EQ68" i="7" s="1"/>
  <c r="ER68" i="7" s="1"/>
  <c r="X22" i="7" s="1"/>
  <c r="EM119" i="7"/>
  <c r="EQ119" i="7" s="1"/>
  <c r="ER119" i="7" s="1"/>
  <c r="AQ23" i="7" s="1"/>
  <c r="EJ176" i="7"/>
  <c r="EK176" i="7"/>
  <c r="EH156" i="7"/>
  <c r="EL156" i="7"/>
  <c r="EK148" i="7"/>
  <c r="EH116" i="7"/>
  <c r="EL116" i="7"/>
  <c r="EH143" i="7"/>
  <c r="EL143" i="7"/>
  <c r="EJ92" i="7"/>
  <c r="EK92" i="7"/>
  <c r="EM82" i="7"/>
  <c r="EQ82" i="7" s="1"/>
  <c r="ER82" i="7" s="1"/>
  <c r="X36" i="7" s="1"/>
  <c r="EK93" i="7"/>
  <c r="EJ93" i="7"/>
  <c r="EJ202" i="7"/>
  <c r="EG79" i="7"/>
  <c r="EM144" i="7"/>
  <c r="EQ144" i="7" s="1"/>
  <c r="ER144" i="7" s="1"/>
  <c r="AQ48" i="7" s="1"/>
  <c r="EJ88" i="7"/>
  <c r="EK88" i="7"/>
  <c r="EJ102" i="7"/>
  <c r="EK102" i="7"/>
  <c r="EK147" i="7"/>
  <c r="EH126" i="7"/>
  <c r="EL126" i="7"/>
  <c r="EK202" i="7"/>
  <c r="EN202" i="7" s="1"/>
  <c r="EO152" i="7"/>
  <c r="EP152" i="7"/>
  <c r="EH165" i="7"/>
  <c r="EL165" i="7"/>
  <c r="EH101" i="7"/>
  <c r="EL101" i="7"/>
  <c r="EM108" i="7"/>
  <c r="EQ108" i="7" s="1"/>
  <c r="ER108" i="7" s="1"/>
  <c r="AQ12" i="7" s="1"/>
  <c r="AT12" i="7" s="1"/>
  <c r="AW12" i="7" s="1"/>
  <c r="M12" i="7" s="1"/>
  <c r="EK149" i="7"/>
  <c r="EL147" i="7"/>
  <c r="EJ103" i="7"/>
  <c r="EK103" i="7"/>
  <c r="EJ72" i="7"/>
  <c r="EG80" i="7"/>
  <c r="EL202" i="7"/>
  <c r="EL149" i="7"/>
  <c r="EH204" i="7"/>
  <c r="EL204" i="7"/>
  <c r="EJ97" i="7"/>
  <c r="EM87" i="7"/>
  <c r="EQ87" i="7" s="1"/>
  <c r="ER87" i="7" s="1"/>
  <c r="X41" i="7" s="1"/>
  <c r="EL142" i="7"/>
  <c r="EL148" i="7"/>
  <c r="EK135" i="7"/>
  <c r="EL104" i="7"/>
  <c r="EG174" i="7"/>
  <c r="EH174" i="7" s="1"/>
  <c r="EJ174" i="7" s="1"/>
  <c r="EG139" i="7"/>
  <c r="EH139" i="7" s="1"/>
  <c r="EJ139" i="7" s="1"/>
  <c r="EL145" i="7"/>
  <c r="EG183" i="7"/>
  <c r="EH183" i="7" s="1"/>
  <c r="EJ183" i="7" s="1"/>
  <c r="EL205" i="7"/>
  <c r="EK205" i="7"/>
  <c r="EM163" i="7"/>
  <c r="EQ163" i="7" s="1"/>
  <c r="ER163" i="7" s="1"/>
  <c r="BJ17" i="7" s="1"/>
  <c r="BM17" i="7" s="1"/>
  <c r="BP17" i="7" s="1"/>
  <c r="P17" i="7" s="1"/>
  <c r="EK97" i="7"/>
  <c r="EN97" i="7" s="1"/>
  <c r="EL72" i="7"/>
  <c r="EL135" i="7"/>
  <c r="EK134" i="7"/>
  <c r="EK145" i="7"/>
  <c r="EK72" i="7"/>
  <c r="EL78" i="7"/>
  <c r="EK104" i="7"/>
  <c r="EL84" i="7"/>
  <c r="EG133" i="7"/>
  <c r="EH133" i="7" s="1"/>
  <c r="EJ133" i="7" s="1"/>
  <c r="EG115" i="7"/>
  <c r="EH115" i="7" s="1"/>
  <c r="EJ115" i="7" s="1"/>
  <c r="EK84" i="7"/>
  <c r="EG124" i="7"/>
  <c r="EH124" i="7" s="1"/>
  <c r="EJ124" i="7" s="1"/>
  <c r="EL97" i="7"/>
  <c r="EK142" i="7"/>
  <c r="EO81" i="7" l="1"/>
  <c r="EP111" i="7"/>
  <c r="EO68" i="7"/>
  <c r="EO144" i="7"/>
  <c r="EP89" i="7"/>
  <c r="CA51" i="7"/>
  <c r="R51" i="7" s="1"/>
  <c r="AO15" i="7"/>
  <c r="L15" i="7" s="1"/>
  <c r="CA33" i="7"/>
  <c r="R33" i="7" s="1"/>
  <c r="CA29" i="7"/>
  <c r="R29" i="7" s="1"/>
  <c r="BH16" i="7"/>
  <c r="O16" i="7" s="1"/>
  <c r="AO48" i="7"/>
  <c r="L48" i="7" s="1"/>
  <c r="CA39" i="7"/>
  <c r="R39" i="7" s="1"/>
  <c r="BH42" i="7"/>
  <c r="O42" i="7" s="1"/>
  <c r="BH29" i="7"/>
  <c r="O29" i="7" s="1"/>
  <c r="BH27" i="7"/>
  <c r="O27" i="7" s="1"/>
  <c r="AO23" i="7"/>
  <c r="L23" i="7" s="1"/>
  <c r="AG22" i="7"/>
  <c r="AJ22" i="7" s="1"/>
  <c r="K22" i="7" s="1"/>
  <c r="AM22" i="7"/>
  <c r="AN22" i="7" s="1"/>
  <c r="AA22" i="7"/>
  <c r="AD22" i="7" s="1"/>
  <c r="AL22" i="7"/>
  <c r="BE13" i="7"/>
  <c r="AZ13" i="7"/>
  <c r="BC13" i="7" s="1"/>
  <c r="N13" i="7" s="1"/>
  <c r="BF13" i="7"/>
  <c r="BG13" i="7" s="1"/>
  <c r="BF56" i="7"/>
  <c r="BG56" i="7" s="1"/>
  <c r="AZ56" i="7"/>
  <c r="BC56" i="7" s="1"/>
  <c r="N56" i="7" s="1"/>
  <c r="BE56" i="7"/>
  <c r="AG60" i="7"/>
  <c r="AJ60" i="7" s="1"/>
  <c r="K60" i="7" s="1"/>
  <c r="AM60" i="7"/>
  <c r="AN60" i="7" s="1"/>
  <c r="AA60" i="7"/>
  <c r="AD60" i="7" s="1"/>
  <c r="AL60" i="7"/>
  <c r="BS43" i="7"/>
  <c r="BV43" i="7" s="1"/>
  <c r="Q43" i="7" s="1"/>
  <c r="BY43" i="7"/>
  <c r="BZ43" i="7" s="1"/>
  <c r="BX43" i="7"/>
  <c r="BS25" i="7"/>
  <c r="BV25" i="7" s="1"/>
  <c r="Q25" i="7" s="1"/>
  <c r="BY25" i="7"/>
  <c r="BZ25" i="7" s="1"/>
  <c r="BX25" i="7"/>
  <c r="CA25" i="7" s="1"/>
  <c r="BS15" i="7"/>
  <c r="BV15" i="7" s="1"/>
  <c r="Q15" i="7" s="1"/>
  <c r="BY15" i="7"/>
  <c r="BZ15" i="7" s="1"/>
  <c r="BX15" i="7"/>
  <c r="BE14" i="7"/>
  <c r="AZ14" i="7"/>
  <c r="BC14" i="7" s="1"/>
  <c r="N14" i="7" s="1"/>
  <c r="BF14" i="7"/>
  <c r="BG14" i="7" s="1"/>
  <c r="BF58" i="7"/>
  <c r="BG58" i="7" s="1"/>
  <c r="AZ58" i="7"/>
  <c r="BC58" i="7" s="1"/>
  <c r="N58" i="7" s="1"/>
  <c r="BE58" i="7"/>
  <c r="BY18" i="7"/>
  <c r="BZ18" i="7" s="1"/>
  <c r="BS18" i="7"/>
  <c r="BV18" i="7" s="1"/>
  <c r="Q18" i="7" s="1"/>
  <c r="BX18" i="7"/>
  <c r="BF48" i="7"/>
  <c r="BG48" i="7" s="1"/>
  <c r="AZ48" i="7"/>
  <c r="BC48" i="7" s="1"/>
  <c r="N48" i="7" s="1"/>
  <c r="BE48" i="7"/>
  <c r="BY16" i="7"/>
  <c r="BZ16" i="7" s="1"/>
  <c r="BS16" i="7"/>
  <c r="BV16" i="7" s="1"/>
  <c r="Q16" i="7" s="1"/>
  <c r="BX16" i="7"/>
  <c r="AZ17" i="7"/>
  <c r="BC17" i="7" s="1"/>
  <c r="N17" i="7" s="1"/>
  <c r="BF17" i="7"/>
  <c r="BG17" i="7" s="1"/>
  <c r="BE17" i="7"/>
  <c r="AM29" i="7"/>
  <c r="AN29" i="7" s="1"/>
  <c r="AA29" i="7"/>
  <c r="AD29" i="7" s="1"/>
  <c r="AG29" i="7"/>
  <c r="AJ29" i="7" s="1"/>
  <c r="K29" i="7" s="1"/>
  <c r="AL29" i="7"/>
  <c r="AL17" i="7"/>
  <c r="AM17" i="7"/>
  <c r="AN17" i="7" s="1"/>
  <c r="AA17" i="7"/>
  <c r="AD17" i="7" s="1"/>
  <c r="AG17" i="7"/>
  <c r="AJ17" i="7" s="1"/>
  <c r="K17" i="7" s="1"/>
  <c r="BY21" i="7"/>
  <c r="BZ21" i="7" s="1"/>
  <c r="BS21" i="7"/>
  <c r="BV21" i="7" s="1"/>
  <c r="Q21" i="7" s="1"/>
  <c r="BX21" i="7"/>
  <c r="BY24" i="7"/>
  <c r="BZ24" i="7" s="1"/>
  <c r="BS24" i="7"/>
  <c r="BV24" i="7" s="1"/>
  <c r="Q24" i="7" s="1"/>
  <c r="BX24" i="7"/>
  <c r="BF50" i="7"/>
  <c r="BG50" i="7" s="1"/>
  <c r="AZ50" i="7"/>
  <c r="BC50" i="7" s="1"/>
  <c r="BE50" i="7"/>
  <c r="BY40" i="7"/>
  <c r="BZ40" i="7" s="1"/>
  <c r="BS40" i="7"/>
  <c r="BV40" i="7" s="1"/>
  <c r="Q40" i="7" s="1"/>
  <c r="BX40" i="7"/>
  <c r="BY54" i="7"/>
  <c r="BZ54" i="7" s="1"/>
  <c r="BX54" i="7"/>
  <c r="BS54" i="7"/>
  <c r="BV54" i="7" s="1"/>
  <c r="Q54" i="7" s="1"/>
  <c r="BS42" i="7"/>
  <c r="BV42" i="7" s="1"/>
  <c r="Q42" i="7" s="1"/>
  <c r="BY42" i="7"/>
  <c r="BZ42" i="7" s="1"/>
  <c r="BX42" i="7"/>
  <c r="BH36" i="7"/>
  <c r="O36" i="7" s="1"/>
  <c r="AA41" i="7"/>
  <c r="AD41" i="7" s="1"/>
  <c r="AG41" i="7"/>
  <c r="AJ41" i="7" s="1"/>
  <c r="K41" i="7" s="1"/>
  <c r="AM41" i="7"/>
  <c r="AN41" i="7" s="1"/>
  <c r="AL41" i="7"/>
  <c r="AO41" i="7" s="1"/>
  <c r="BE12" i="7"/>
  <c r="BF12" i="7"/>
  <c r="BG12" i="7" s="1"/>
  <c r="AZ12" i="7"/>
  <c r="BC12" i="7" s="1"/>
  <c r="N12" i="7" s="1"/>
  <c r="AL36" i="7"/>
  <c r="AM36" i="7"/>
  <c r="AN36" i="7" s="1"/>
  <c r="AG36" i="7"/>
  <c r="AJ36" i="7" s="1"/>
  <c r="K36" i="7" s="1"/>
  <c r="AA36" i="7"/>
  <c r="AD36" i="7" s="1"/>
  <c r="AZ23" i="7"/>
  <c r="BC23" i="7" s="1"/>
  <c r="N23" i="7" s="1"/>
  <c r="BF23" i="7"/>
  <c r="BG23" i="7" s="1"/>
  <c r="BE23" i="7"/>
  <c r="AZ25" i="7"/>
  <c r="BC25" i="7" s="1"/>
  <c r="N25" i="7" s="1"/>
  <c r="BF25" i="7"/>
  <c r="BG25" i="7" s="1"/>
  <c r="BE25" i="7"/>
  <c r="BX26" i="7"/>
  <c r="BY26" i="7"/>
  <c r="BZ26" i="7" s="1"/>
  <c r="BS26" i="7"/>
  <c r="BV26" i="7" s="1"/>
  <c r="Q26" i="7" s="1"/>
  <c r="BX36" i="7"/>
  <c r="BY36" i="7"/>
  <c r="BZ36" i="7" s="1"/>
  <c r="BS36" i="7"/>
  <c r="BV36" i="7" s="1"/>
  <c r="Q36" i="7" s="1"/>
  <c r="BY49" i="7"/>
  <c r="BZ49" i="7" s="1"/>
  <c r="BX49" i="7"/>
  <c r="CA49" i="7" s="1"/>
  <c r="BS49" i="7"/>
  <c r="BV49" i="7" s="1"/>
  <c r="Q49" i="7" s="1"/>
  <c r="AG19" i="7"/>
  <c r="AJ19" i="7" s="1"/>
  <c r="K19" i="7" s="1"/>
  <c r="AM19" i="7"/>
  <c r="AN19" i="7" s="1"/>
  <c r="AL19" i="7"/>
  <c r="AA19" i="7"/>
  <c r="AD19" i="7" s="1"/>
  <c r="BF24" i="7"/>
  <c r="BG24" i="7" s="1"/>
  <c r="AZ24" i="7"/>
  <c r="BC24" i="7" s="1"/>
  <c r="N24" i="7" s="1"/>
  <c r="BE24" i="7"/>
  <c r="BX12" i="7"/>
  <c r="BS12" i="7"/>
  <c r="BV12" i="7" s="1"/>
  <c r="Q12" i="7" s="1"/>
  <c r="BY12" i="7"/>
  <c r="BZ12" i="7" s="1"/>
  <c r="AA18" i="7"/>
  <c r="AD18" i="7" s="1"/>
  <c r="AL18" i="7"/>
  <c r="AG18" i="7"/>
  <c r="AJ18" i="7" s="1"/>
  <c r="K18" i="7" s="1"/>
  <c r="AM18" i="7"/>
  <c r="AN18" i="7" s="1"/>
  <c r="AG45" i="7"/>
  <c r="AJ45" i="7" s="1"/>
  <c r="K45" i="7" s="1"/>
  <c r="AA45" i="7"/>
  <c r="AD45" i="7" s="1"/>
  <c r="AM45" i="7"/>
  <c r="AN45" i="7" s="1"/>
  <c r="AL45" i="7"/>
  <c r="AO45" i="7" s="1"/>
  <c r="AG43" i="7"/>
  <c r="AJ43" i="7" s="1"/>
  <c r="K43" i="7" s="1"/>
  <c r="AM43" i="7"/>
  <c r="AN43" i="7" s="1"/>
  <c r="AL43" i="7"/>
  <c r="AA43" i="7"/>
  <c r="AD43" i="7" s="1"/>
  <c r="AZ33" i="7"/>
  <c r="BC33" i="7" s="1"/>
  <c r="N33" i="7" s="1"/>
  <c r="BE33" i="7"/>
  <c r="BF33" i="7"/>
  <c r="BG33" i="7" s="1"/>
  <c r="BY55" i="7"/>
  <c r="BZ55" i="7" s="1"/>
  <c r="BS55" i="7"/>
  <c r="BV55" i="7" s="1"/>
  <c r="Q55" i="7" s="1"/>
  <c r="BX55" i="7"/>
  <c r="AO16" i="7"/>
  <c r="L16" i="7" s="1"/>
  <c r="AO52" i="7"/>
  <c r="L52" i="7" s="1"/>
  <c r="BH31" i="7"/>
  <c r="O31" i="7" s="1"/>
  <c r="CA32" i="7"/>
  <c r="R32" i="7" s="1"/>
  <c r="CA57" i="7"/>
  <c r="R57" i="7" s="1"/>
  <c r="AO12" i="7"/>
  <c r="CA31" i="7"/>
  <c r="R31" i="7" s="1"/>
  <c r="BS17" i="7"/>
  <c r="BV17" i="7" s="1"/>
  <c r="Q17" i="7" s="1"/>
  <c r="BY17" i="7"/>
  <c r="BZ17" i="7" s="1"/>
  <c r="BX17" i="7"/>
  <c r="EN92" i="7"/>
  <c r="EP92" i="7" s="1"/>
  <c r="EO172" i="7"/>
  <c r="BS27" i="7"/>
  <c r="BV27" i="7" s="1"/>
  <c r="Q27" i="7" s="1"/>
  <c r="BX27" i="7"/>
  <c r="BY27" i="7"/>
  <c r="BZ27" i="7" s="1"/>
  <c r="AG40" i="7"/>
  <c r="AJ40" i="7" s="1"/>
  <c r="K40" i="7" s="1"/>
  <c r="AA40" i="7"/>
  <c r="AD40" i="7" s="1"/>
  <c r="AL40" i="7"/>
  <c r="AM40" i="7"/>
  <c r="AN40" i="7" s="1"/>
  <c r="AM27" i="7"/>
  <c r="AN27" i="7" s="1"/>
  <c r="AG27" i="7"/>
  <c r="AJ27" i="7" s="1"/>
  <c r="K27" i="7" s="1"/>
  <c r="AA27" i="7"/>
  <c r="AD27" i="7" s="1"/>
  <c r="AL27" i="7"/>
  <c r="AL35" i="7"/>
  <c r="AM35" i="7"/>
  <c r="AN35" i="7" s="1"/>
  <c r="AG35" i="7"/>
  <c r="AJ35" i="7" s="1"/>
  <c r="K35" i="7" s="1"/>
  <c r="AA35" i="7"/>
  <c r="AD35" i="7" s="1"/>
  <c r="BS34" i="7"/>
  <c r="BV34" i="7" s="1"/>
  <c r="Q34" i="7" s="1"/>
  <c r="BY34" i="7"/>
  <c r="BZ34" i="7" s="1"/>
  <c r="BX34" i="7"/>
  <c r="CA34" i="7" s="1"/>
  <c r="AZ15" i="7"/>
  <c r="BC15" i="7" s="1"/>
  <c r="N15" i="7" s="1"/>
  <c r="BE15" i="7"/>
  <c r="BF15" i="7"/>
  <c r="BG15" i="7" s="1"/>
  <c r="AM53" i="7"/>
  <c r="AN53" i="7" s="1"/>
  <c r="AA53" i="7"/>
  <c r="AD53" i="7" s="1"/>
  <c r="AG53" i="7"/>
  <c r="AJ53" i="7" s="1"/>
  <c r="K53" i="7" s="1"/>
  <c r="AL53" i="7"/>
  <c r="CA13" i="7"/>
  <c r="R13" i="7" s="1"/>
  <c r="BH22" i="7"/>
  <c r="O22" i="7" s="1"/>
  <c r="AO24" i="7"/>
  <c r="L24" i="7" s="1"/>
  <c r="EO173" i="7"/>
  <c r="EO109" i="7"/>
  <c r="EO188" i="7"/>
  <c r="EP106" i="7"/>
  <c r="EP63" i="7"/>
  <c r="EP195" i="7"/>
  <c r="EP189" i="7"/>
  <c r="EP82" i="7"/>
  <c r="EN72" i="7"/>
  <c r="EP72" i="7" s="1"/>
  <c r="EP121" i="7"/>
  <c r="EN84" i="7"/>
  <c r="EO84" i="7" s="1"/>
  <c r="EP110" i="7"/>
  <c r="EO108" i="7"/>
  <c r="EN187" i="7"/>
  <c r="EO187" i="7" s="1"/>
  <c r="EO129" i="7"/>
  <c r="EP170" i="7"/>
  <c r="EP146" i="7"/>
  <c r="EP99" i="7"/>
  <c r="EP200" i="7"/>
  <c r="EN134" i="7"/>
  <c r="EP134" i="7" s="1"/>
  <c r="EP163" i="7"/>
  <c r="EN166" i="7"/>
  <c r="EP166" i="7" s="1"/>
  <c r="EN88" i="7"/>
  <c r="EN77" i="7"/>
  <c r="EO77" i="7" s="1"/>
  <c r="EN114" i="7"/>
  <c r="EO114" i="7" s="1"/>
  <c r="EN65" i="7"/>
  <c r="EP65" i="7" s="1"/>
  <c r="EP171" i="7"/>
  <c r="EP119" i="7"/>
  <c r="EP75" i="7"/>
  <c r="EO86" i="7"/>
  <c r="EP177" i="7"/>
  <c r="EP154" i="7"/>
  <c r="O57" i="7"/>
  <c r="EP91" i="7"/>
  <c r="EP201" i="7"/>
  <c r="EM193" i="7"/>
  <c r="EQ193" i="7" s="1"/>
  <c r="ER193" i="7" s="1"/>
  <c r="BJ47" i="7" s="1"/>
  <c r="EN193" i="7"/>
  <c r="EO193" i="7" s="1"/>
  <c r="J15" i="7"/>
  <c r="J48" i="7"/>
  <c r="EM205" i="7"/>
  <c r="EQ205" i="7" s="1"/>
  <c r="ER205" i="7" s="1"/>
  <c r="BJ59" i="7" s="1"/>
  <c r="EN205" i="7"/>
  <c r="EO205" i="7" s="1"/>
  <c r="EN93" i="7"/>
  <c r="EM71" i="7"/>
  <c r="EQ71" i="7" s="1"/>
  <c r="ER71" i="7" s="1"/>
  <c r="X25" i="7" s="1"/>
  <c r="EN71" i="7"/>
  <c r="EP71" i="7" s="1"/>
  <c r="EM142" i="7"/>
  <c r="EQ142" i="7" s="1"/>
  <c r="ER142" i="7" s="1"/>
  <c r="AQ46" i="7" s="1"/>
  <c r="EN142" i="7"/>
  <c r="EO142" i="7" s="1"/>
  <c r="EN145" i="7"/>
  <c r="EO145" i="7" s="1"/>
  <c r="EO164" i="7"/>
  <c r="EN103" i="7"/>
  <c r="EN102" i="7"/>
  <c r="EM148" i="7"/>
  <c r="EQ148" i="7" s="1"/>
  <c r="ER148" i="7" s="1"/>
  <c r="AQ52" i="7" s="1"/>
  <c r="EN148" i="7"/>
  <c r="EO148" i="7" s="1"/>
  <c r="EM184" i="7"/>
  <c r="EQ184" i="7" s="1"/>
  <c r="ER184" i="7" s="1"/>
  <c r="BJ38" i="7" s="1"/>
  <c r="EN184" i="7"/>
  <c r="EP184" i="7" s="1"/>
  <c r="EN131" i="7"/>
  <c r="EM90" i="7"/>
  <c r="EQ90" i="7" s="1"/>
  <c r="ER90" i="7" s="1"/>
  <c r="X44" i="7" s="1"/>
  <c r="EN90" i="7"/>
  <c r="EO161" i="7"/>
  <c r="EM150" i="7"/>
  <c r="EQ150" i="7" s="1"/>
  <c r="ER150" i="7" s="1"/>
  <c r="AQ54" i="7" s="1"/>
  <c r="EN150" i="7"/>
  <c r="EO150" i="7" s="1"/>
  <c r="EP190" i="7"/>
  <c r="EP182" i="7"/>
  <c r="J52" i="7"/>
  <c r="EN120" i="7"/>
  <c r="EP120" i="7" s="1"/>
  <c r="EO87" i="7"/>
  <c r="EP87" i="7"/>
  <c r="EP186" i="7"/>
  <c r="EO186" i="7"/>
  <c r="EN113" i="7"/>
  <c r="EP113" i="7" s="1"/>
  <c r="J49" i="7"/>
  <c r="EM104" i="7"/>
  <c r="EQ104" i="7" s="1"/>
  <c r="ER104" i="7" s="1"/>
  <c r="X58" i="7" s="1"/>
  <c r="EN104" i="7"/>
  <c r="EO104" i="7" s="1"/>
  <c r="EM149" i="7"/>
  <c r="EQ149" i="7" s="1"/>
  <c r="ER149" i="7" s="1"/>
  <c r="AQ53" i="7" s="1"/>
  <c r="EN149" i="7"/>
  <c r="EO149" i="7" s="1"/>
  <c r="EM59" i="7"/>
  <c r="EQ59" i="7" s="1"/>
  <c r="ER59" i="7" s="1"/>
  <c r="X13" i="7" s="1"/>
  <c r="EN59" i="7"/>
  <c r="EO59" i="7" s="1"/>
  <c r="EM78" i="7"/>
  <c r="EQ78" i="7" s="1"/>
  <c r="ER78" i="7" s="1"/>
  <c r="X32" i="7" s="1"/>
  <c r="EN78" i="7"/>
  <c r="EP78" i="7" s="1"/>
  <c r="EM100" i="7"/>
  <c r="EQ100" i="7" s="1"/>
  <c r="ER100" i="7" s="1"/>
  <c r="X54" i="7" s="1"/>
  <c r="EN100" i="7"/>
  <c r="EO100" i="7" s="1"/>
  <c r="EM76" i="7"/>
  <c r="EQ76" i="7" s="1"/>
  <c r="ER76" i="7" s="1"/>
  <c r="X30" i="7" s="1"/>
  <c r="EN76" i="7"/>
  <c r="EO76" i="7" s="1"/>
  <c r="EM192" i="7"/>
  <c r="EQ192" i="7" s="1"/>
  <c r="ER192" i="7" s="1"/>
  <c r="BJ46" i="7" s="1"/>
  <c r="EN192" i="7"/>
  <c r="EO192" i="7" s="1"/>
  <c r="EN66" i="7"/>
  <c r="EM181" i="7"/>
  <c r="EQ181" i="7" s="1"/>
  <c r="ER181" i="7" s="1"/>
  <c r="BJ35" i="7" s="1"/>
  <c r="EN181" i="7"/>
  <c r="EP181" i="7" s="1"/>
  <c r="EM83" i="7"/>
  <c r="EQ83" i="7" s="1"/>
  <c r="ER83" i="7" s="1"/>
  <c r="X37" i="7" s="1"/>
  <c r="EN83" i="7"/>
  <c r="EP83" i="7" s="1"/>
  <c r="EO162" i="7"/>
  <c r="EP162" i="7"/>
  <c r="EP167" i="7"/>
  <c r="EO167" i="7"/>
  <c r="EO73" i="7"/>
  <c r="EP73" i="7"/>
  <c r="EP180" i="7"/>
  <c r="EN135" i="7"/>
  <c r="EO135" i="7" s="1"/>
  <c r="EM147" i="7"/>
  <c r="EQ147" i="7" s="1"/>
  <c r="ER147" i="7" s="1"/>
  <c r="AQ51" i="7" s="1"/>
  <c r="EN147" i="7"/>
  <c r="EO147" i="7" s="1"/>
  <c r="EN176" i="7"/>
  <c r="EN117" i="7"/>
  <c r="EM140" i="7"/>
  <c r="EQ140" i="7" s="1"/>
  <c r="ER140" i="7" s="1"/>
  <c r="AQ44" i="7" s="1"/>
  <c r="EN140" i="7"/>
  <c r="EO140" i="7" s="1"/>
  <c r="EM137" i="7"/>
  <c r="EQ137" i="7" s="1"/>
  <c r="ER137" i="7" s="1"/>
  <c r="AQ41" i="7" s="1"/>
  <c r="EN137" i="7"/>
  <c r="EM60" i="7"/>
  <c r="EQ60" i="7" s="1"/>
  <c r="ER60" i="7" s="1"/>
  <c r="X14" i="7" s="1"/>
  <c r="EN60" i="7"/>
  <c r="EM151" i="7"/>
  <c r="EQ151" i="7" s="1"/>
  <c r="ER151" i="7" s="1"/>
  <c r="AQ55" i="7" s="1"/>
  <c r="EN151" i="7"/>
  <c r="EP151" i="7" s="1"/>
  <c r="EM85" i="7"/>
  <c r="EQ85" i="7" s="1"/>
  <c r="ER85" i="7" s="1"/>
  <c r="X39" i="7" s="1"/>
  <c r="EN85" i="7"/>
  <c r="EO85" i="7" s="1"/>
  <c r="EM194" i="7"/>
  <c r="EQ194" i="7" s="1"/>
  <c r="ER194" i="7" s="1"/>
  <c r="BJ48" i="7" s="1"/>
  <c r="EN194" i="7"/>
  <c r="EO194" i="7" s="1"/>
  <c r="EM105" i="7"/>
  <c r="EQ105" i="7" s="1"/>
  <c r="ER105" i="7" s="1"/>
  <c r="X59" i="7" s="1"/>
  <c r="EN105" i="7"/>
  <c r="EO105" i="7" s="1"/>
  <c r="EM67" i="7"/>
  <c r="EQ67" i="7" s="1"/>
  <c r="ER67" i="7" s="1"/>
  <c r="X21" i="7" s="1"/>
  <c r="EN67" i="7"/>
  <c r="EO67" i="7" s="1"/>
  <c r="O59" i="7"/>
  <c r="J16" i="7"/>
  <c r="J24" i="7"/>
  <c r="EO64" i="7"/>
  <c r="J23" i="7"/>
  <c r="EN206" i="7"/>
  <c r="EO158" i="7"/>
  <c r="K12" i="7"/>
  <c r="AZ175" i="3"/>
  <c r="AC644" i="6"/>
  <c r="AZ198" i="3"/>
  <c r="AC656" i="6"/>
  <c r="AZ152" i="3"/>
  <c r="AC632" i="6"/>
  <c r="BA148" i="3"/>
  <c r="BA149" i="3"/>
  <c r="BB168" i="3"/>
  <c r="BB169" i="3" s="1"/>
  <c r="BB171" i="3" s="1"/>
  <c r="BB145" i="3"/>
  <c r="BB146" i="3" s="1"/>
  <c r="BB148" i="3" s="1"/>
  <c r="BA195" i="3"/>
  <c r="BA197" i="3" s="1"/>
  <c r="BA194" i="3"/>
  <c r="BA193" i="3"/>
  <c r="BA196" i="3" s="1"/>
  <c r="BE135" i="3"/>
  <c r="BD139" i="3"/>
  <c r="BD140" i="3"/>
  <c r="BC165" i="3"/>
  <c r="BC166" i="3" s="1"/>
  <c r="BC167" i="3"/>
  <c r="BC190" i="3"/>
  <c r="BC188" i="3"/>
  <c r="BC189" i="3" s="1"/>
  <c r="BC142" i="3"/>
  <c r="BC143" i="3" s="1"/>
  <c r="BC144" i="3"/>
  <c r="BB191" i="3"/>
  <c r="BB192" i="3" s="1"/>
  <c r="BA171" i="3"/>
  <c r="BA170" i="3"/>
  <c r="BA173" i="3" s="1"/>
  <c r="BA172" i="3"/>
  <c r="BA174" i="3" s="1"/>
  <c r="BE181" i="3"/>
  <c r="BD186" i="3"/>
  <c r="BD185" i="3"/>
  <c r="BE158" i="3"/>
  <c r="BD163" i="3"/>
  <c r="BD162" i="3"/>
  <c r="BH11" i="7"/>
  <c r="O11" i="7" s="1"/>
  <c r="BC11" i="7"/>
  <c r="N11" i="7" s="1"/>
  <c r="AL11" i="7"/>
  <c r="AA11" i="7"/>
  <c r="AD11" i="7" s="1"/>
  <c r="EM157" i="7"/>
  <c r="EQ157" i="7" s="1"/>
  <c r="ER157" i="7" s="1"/>
  <c r="BJ11" i="7" s="1"/>
  <c r="BM11" i="7" s="1"/>
  <c r="BH76" i="3"/>
  <c r="BH77" i="3" s="1"/>
  <c r="BE53" i="3"/>
  <c r="BE54" i="3" s="1"/>
  <c r="BH29" i="3"/>
  <c r="BH30" i="3" s="1"/>
  <c r="BH53" i="3"/>
  <c r="BH54" i="3" s="1"/>
  <c r="BE76" i="3"/>
  <c r="BE77" i="3" s="1"/>
  <c r="BE29" i="3"/>
  <c r="BE30" i="3" s="1"/>
  <c r="EM145" i="7"/>
  <c r="EQ145" i="7" s="1"/>
  <c r="ER145" i="7" s="1"/>
  <c r="AQ49" i="7" s="1"/>
  <c r="EK130" i="7"/>
  <c r="EM166" i="7"/>
  <c r="EQ166" i="7" s="1"/>
  <c r="ER166" i="7" s="1"/>
  <c r="BJ20" i="7" s="1"/>
  <c r="BM20" i="7" s="1"/>
  <c r="BP20" i="7" s="1"/>
  <c r="P20" i="7" s="1"/>
  <c r="EL130" i="7"/>
  <c r="EM97" i="7"/>
  <c r="EQ97" i="7" s="1"/>
  <c r="ER97" i="7" s="1"/>
  <c r="X51" i="7" s="1"/>
  <c r="EM114" i="7"/>
  <c r="EQ114" i="7" s="1"/>
  <c r="ER114" i="7" s="1"/>
  <c r="AQ18" i="7" s="1"/>
  <c r="AT18" i="7" s="1"/>
  <c r="AW18" i="7" s="1"/>
  <c r="M18" i="7" s="1"/>
  <c r="AM11" i="7"/>
  <c r="AN11" i="7" s="1"/>
  <c r="EM187" i="7"/>
  <c r="EQ187" i="7" s="1"/>
  <c r="ER187" i="7" s="1"/>
  <c r="BJ41" i="7" s="1"/>
  <c r="EM135" i="7"/>
  <c r="EQ135" i="7" s="1"/>
  <c r="ER135" i="7" s="1"/>
  <c r="AQ39" i="7" s="1"/>
  <c r="AG11" i="7"/>
  <c r="AJ11" i="7" s="1"/>
  <c r="EM84" i="7"/>
  <c r="EQ84" i="7" s="1"/>
  <c r="ER84" i="7" s="1"/>
  <c r="X38" i="7" s="1"/>
  <c r="EM72" i="7"/>
  <c r="EQ72" i="7" s="1"/>
  <c r="ER72" i="7" s="1"/>
  <c r="X26" i="7" s="1"/>
  <c r="EM206" i="7"/>
  <c r="EQ206" i="7" s="1"/>
  <c r="ER206" i="7" s="1"/>
  <c r="BJ60" i="7" s="1"/>
  <c r="EM77" i="7"/>
  <c r="EQ77" i="7" s="1"/>
  <c r="ER77" i="7" s="1"/>
  <c r="X31" i="7" s="1"/>
  <c r="EJ136" i="7"/>
  <c r="EK136" i="7"/>
  <c r="EM134" i="7"/>
  <c r="EQ134" i="7" s="1"/>
  <c r="ER134" i="7" s="1"/>
  <c r="AQ38" i="7" s="1"/>
  <c r="EM66" i="7"/>
  <c r="EQ66" i="7" s="1"/>
  <c r="ER66" i="7" s="1"/>
  <c r="X20" i="7" s="1"/>
  <c r="EM202" i="7"/>
  <c r="EQ202" i="7" s="1"/>
  <c r="ER202" i="7" s="1"/>
  <c r="BJ56" i="7" s="1"/>
  <c r="EO57" i="7"/>
  <c r="EM190" i="7"/>
  <c r="EQ190" i="7" s="1"/>
  <c r="ER190" i="7" s="1"/>
  <c r="BJ44" i="7" s="1"/>
  <c r="EH74" i="7"/>
  <c r="EL74" i="7"/>
  <c r="EH122" i="7"/>
  <c r="EL122" i="7"/>
  <c r="EP157" i="7"/>
  <c r="EO157" i="7"/>
  <c r="EM131" i="7"/>
  <c r="EQ131" i="7" s="1"/>
  <c r="ER131" i="7" s="1"/>
  <c r="AQ35" i="7" s="1"/>
  <c r="EK183" i="7"/>
  <c r="EM117" i="7"/>
  <c r="EQ117" i="7" s="1"/>
  <c r="ER117" i="7" s="1"/>
  <c r="AQ21" i="7" s="1"/>
  <c r="EH141" i="7"/>
  <c r="EL141" i="7"/>
  <c r="EM176" i="7"/>
  <c r="EQ176" i="7" s="1"/>
  <c r="ER176" i="7" s="1"/>
  <c r="BJ30" i="7" s="1"/>
  <c r="EK156" i="7"/>
  <c r="EJ156" i="7"/>
  <c r="EK139" i="7"/>
  <c r="EJ116" i="7"/>
  <c r="EK116" i="7"/>
  <c r="EK143" i="7"/>
  <c r="EJ143" i="7"/>
  <c r="EM88" i="7"/>
  <c r="EQ88" i="7" s="1"/>
  <c r="ER88" i="7" s="1"/>
  <c r="X42" i="7" s="1"/>
  <c r="EM92" i="7"/>
  <c r="EQ92" i="7" s="1"/>
  <c r="ER92" i="7" s="1"/>
  <c r="X46" i="7" s="1"/>
  <c r="EH79" i="7"/>
  <c r="EL79" i="7"/>
  <c r="EL183" i="7"/>
  <c r="EM93" i="7"/>
  <c r="EQ93" i="7" s="1"/>
  <c r="ER93" i="7" s="1"/>
  <c r="X47" i="7" s="1"/>
  <c r="EM103" i="7"/>
  <c r="EQ103" i="7" s="1"/>
  <c r="ER103" i="7" s="1"/>
  <c r="X57" i="7" s="1"/>
  <c r="EM102" i="7"/>
  <c r="EQ102" i="7" s="1"/>
  <c r="ER102" i="7" s="1"/>
  <c r="X56" i="7" s="1"/>
  <c r="EJ204" i="7"/>
  <c r="EK204" i="7"/>
  <c r="EN204" i="7" s="1"/>
  <c r="EP204" i="7" s="1"/>
  <c r="EJ165" i="7"/>
  <c r="EK165" i="7"/>
  <c r="EJ126" i="7"/>
  <c r="EK126" i="7"/>
  <c r="EL133" i="7"/>
  <c r="EH80" i="7"/>
  <c r="EL80" i="7"/>
  <c r="EJ101" i="7"/>
  <c r="EK101" i="7"/>
  <c r="EK174" i="7"/>
  <c r="EO202" i="7"/>
  <c r="EP202" i="7"/>
  <c r="EO97" i="7"/>
  <c r="EP97" i="7"/>
  <c r="EL124" i="7"/>
  <c r="EK124" i="7"/>
  <c r="EK115" i="7"/>
  <c r="EL139" i="7"/>
  <c r="EL174" i="7"/>
  <c r="EK133" i="7"/>
  <c r="EL115" i="7"/>
  <c r="EP100" i="7" l="1"/>
  <c r="EP192" i="7"/>
  <c r="EO71" i="7"/>
  <c r="EO72" i="7"/>
  <c r="CA17" i="7"/>
  <c r="R17" i="7" s="1"/>
  <c r="EP145" i="7"/>
  <c r="BH24" i="7"/>
  <c r="O24" i="7" s="1"/>
  <c r="AO19" i="7"/>
  <c r="L19" i="7" s="1"/>
  <c r="BH25" i="7"/>
  <c r="O25" i="7" s="1"/>
  <c r="CA40" i="7"/>
  <c r="R40" i="7" s="1"/>
  <c r="BH17" i="7"/>
  <c r="O17" i="7" s="1"/>
  <c r="BH58" i="7"/>
  <c r="O58" i="7" s="1"/>
  <c r="CA43" i="7"/>
  <c r="R43" i="7" s="1"/>
  <c r="BH13" i="7"/>
  <c r="O13" i="7" s="1"/>
  <c r="BH15" i="7"/>
  <c r="O15" i="7" s="1"/>
  <c r="AO35" i="7"/>
  <c r="L35" i="7" s="1"/>
  <c r="BH33" i="7"/>
  <c r="O33" i="7" s="1"/>
  <c r="CA26" i="7"/>
  <c r="CA55" i="7"/>
  <c r="R55" i="7" s="1"/>
  <c r="AO18" i="7"/>
  <c r="L18" i="7" s="1"/>
  <c r="CA12" i="7"/>
  <c r="R12" i="7" s="1"/>
  <c r="BH23" i="7"/>
  <c r="O23" i="7" s="1"/>
  <c r="BH50" i="7"/>
  <c r="O50" i="7" s="1"/>
  <c r="AO17" i="7"/>
  <c r="L17" i="7" s="1"/>
  <c r="CA16" i="7"/>
  <c r="R16" i="7" s="1"/>
  <c r="AO60" i="7"/>
  <c r="L60" i="7" s="1"/>
  <c r="BH56" i="7"/>
  <c r="O56" i="7" s="1"/>
  <c r="AM47" i="7"/>
  <c r="AN47" i="7" s="1"/>
  <c r="AL47" i="7"/>
  <c r="AA47" i="7"/>
  <c r="AD47" i="7" s="1"/>
  <c r="AG47" i="7"/>
  <c r="AJ47" i="7" s="1"/>
  <c r="K47" i="7" s="1"/>
  <c r="BE21" i="7"/>
  <c r="AZ21" i="7"/>
  <c r="BC21" i="7" s="1"/>
  <c r="N21" i="7" s="1"/>
  <c r="BF21" i="7"/>
  <c r="BG21" i="7" s="1"/>
  <c r="BF55" i="7"/>
  <c r="BG55" i="7" s="1"/>
  <c r="AZ55" i="7"/>
  <c r="BC55" i="7" s="1"/>
  <c r="N55" i="7" s="1"/>
  <c r="BE55" i="7"/>
  <c r="BF51" i="7"/>
  <c r="BG51" i="7" s="1"/>
  <c r="AZ51" i="7"/>
  <c r="BC51" i="7" s="1"/>
  <c r="N51" i="7" s="1"/>
  <c r="BE51" i="7"/>
  <c r="BY30" i="7"/>
  <c r="BZ30" i="7" s="1"/>
  <c r="BS30" i="7"/>
  <c r="BV30" i="7" s="1"/>
  <c r="Q30" i="7" s="1"/>
  <c r="BX30" i="7"/>
  <c r="AA38" i="7"/>
  <c r="AD38" i="7" s="1"/>
  <c r="AM38" i="7"/>
  <c r="AN38" i="7" s="1"/>
  <c r="AL38" i="7"/>
  <c r="AO38" i="7" s="1"/>
  <c r="AG38" i="7"/>
  <c r="AJ38" i="7" s="1"/>
  <c r="K38" i="7" s="1"/>
  <c r="BX20" i="7"/>
  <c r="BS20" i="7"/>
  <c r="BV20" i="7" s="1"/>
  <c r="Q20" i="7" s="1"/>
  <c r="BY20" i="7"/>
  <c r="BZ20" i="7" s="1"/>
  <c r="AM59" i="7"/>
  <c r="AN59" i="7" s="1"/>
  <c r="AL59" i="7"/>
  <c r="AA59" i="7"/>
  <c r="AD59" i="7" s="1"/>
  <c r="AG59" i="7"/>
  <c r="AJ59" i="7" s="1"/>
  <c r="K59" i="7" s="1"/>
  <c r="AL37" i="7"/>
  <c r="AG37" i="7"/>
  <c r="AJ37" i="7" s="1"/>
  <c r="K37" i="7" s="1"/>
  <c r="AA37" i="7"/>
  <c r="AD37" i="7" s="1"/>
  <c r="AM37" i="7"/>
  <c r="AN37" i="7" s="1"/>
  <c r="AG30" i="7"/>
  <c r="AJ30" i="7" s="1"/>
  <c r="K30" i="7" s="1"/>
  <c r="AA30" i="7"/>
  <c r="AD30" i="7" s="1"/>
  <c r="AM30" i="7"/>
  <c r="AN30" i="7" s="1"/>
  <c r="AL30" i="7"/>
  <c r="BF52" i="7"/>
  <c r="BG52" i="7" s="1"/>
  <c r="AZ52" i="7"/>
  <c r="BC52" i="7" s="1"/>
  <c r="BE52" i="7"/>
  <c r="BF46" i="7"/>
  <c r="BG46" i="7" s="1"/>
  <c r="AZ46" i="7"/>
  <c r="BC46" i="7" s="1"/>
  <c r="N46" i="7" s="1"/>
  <c r="BE46" i="7"/>
  <c r="AO27" i="7"/>
  <c r="L27" i="7" s="1"/>
  <c r="CA36" i="7"/>
  <c r="R36" i="7" s="1"/>
  <c r="BH12" i="7"/>
  <c r="O12" i="7" s="1"/>
  <c r="AO29" i="7"/>
  <c r="L29" i="7" s="1"/>
  <c r="AM56" i="7"/>
  <c r="AN56" i="7" s="1"/>
  <c r="AL56" i="7"/>
  <c r="AO56" i="7" s="1"/>
  <c r="L56" i="7" s="1"/>
  <c r="AA56" i="7"/>
  <c r="AD56" i="7" s="1"/>
  <c r="AG56" i="7"/>
  <c r="AJ56" i="7" s="1"/>
  <c r="K56" i="7" s="1"/>
  <c r="BF35" i="7"/>
  <c r="BG35" i="7" s="1"/>
  <c r="AZ35" i="7"/>
  <c r="BC35" i="7" s="1"/>
  <c r="N35" i="7" s="1"/>
  <c r="BE35" i="7"/>
  <c r="AM31" i="7"/>
  <c r="AN31" i="7" s="1"/>
  <c r="AG31" i="7"/>
  <c r="AJ31" i="7" s="1"/>
  <c r="K31" i="7" s="1"/>
  <c r="AL31" i="7"/>
  <c r="AA31" i="7"/>
  <c r="AD31" i="7" s="1"/>
  <c r="AZ18" i="7"/>
  <c r="BC18" i="7" s="1"/>
  <c r="N18" i="7" s="1"/>
  <c r="BF18" i="7"/>
  <c r="BG18" i="7" s="1"/>
  <c r="BE18" i="7"/>
  <c r="AA14" i="7"/>
  <c r="AD14" i="7" s="1"/>
  <c r="AL14" i="7"/>
  <c r="AG14" i="7"/>
  <c r="AJ14" i="7" s="1"/>
  <c r="K14" i="7" s="1"/>
  <c r="AM14" i="7"/>
  <c r="AN14" i="7" s="1"/>
  <c r="BF53" i="7"/>
  <c r="BG53" i="7" s="1"/>
  <c r="BE53" i="7"/>
  <c r="AZ53" i="7"/>
  <c r="BC53" i="7" s="1"/>
  <c r="N53" i="7" s="1"/>
  <c r="AM44" i="7"/>
  <c r="AN44" i="7" s="1"/>
  <c r="AG44" i="7"/>
  <c r="AJ44" i="7" s="1"/>
  <c r="K44" i="7" s="1"/>
  <c r="AA44" i="7"/>
  <c r="AD44" i="7" s="1"/>
  <c r="AL44" i="7"/>
  <c r="BX38" i="7"/>
  <c r="BS38" i="7"/>
  <c r="BV38" i="7" s="1"/>
  <c r="Q38" i="7" s="1"/>
  <c r="BY38" i="7"/>
  <c r="BZ38" i="7" s="1"/>
  <c r="BY47" i="7"/>
  <c r="BZ47" i="7" s="1"/>
  <c r="BS47" i="7"/>
  <c r="BV47" i="7" s="1"/>
  <c r="Q47" i="7" s="1"/>
  <c r="BX47" i="7"/>
  <c r="AO40" i="7"/>
  <c r="L40" i="7" s="1"/>
  <c r="CA27" i="7"/>
  <c r="R27" i="7" s="1"/>
  <c r="AO36" i="7"/>
  <c r="L36" i="7" s="1"/>
  <c r="CA21" i="7"/>
  <c r="R21" i="7" s="1"/>
  <c r="CA18" i="7"/>
  <c r="R18" i="7" s="1"/>
  <c r="BH14" i="7"/>
  <c r="O14" i="7" s="1"/>
  <c r="AO22" i="7"/>
  <c r="L22" i="7" s="1"/>
  <c r="AM57" i="7"/>
  <c r="AN57" i="7" s="1"/>
  <c r="AL57" i="7"/>
  <c r="AG57" i="7"/>
  <c r="AJ57" i="7" s="1"/>
  <c r="K57" i="7" s="1"/>
  <c r="AA57" i="7"/>
  <c r="AD57" i="7" s="1"/>
  <c r="BY56" i="7"/>
  <c r="BZ56" i="7" s="1"/>
  <c r="BS56" i="7"/>
  <c r="BV56" i="7" s="1"/>
  <c r="Q56" i="7" s="1"/>
  <c r="BX56" i="7"/>
  <c r="BF38" i="7"/>
  <c r="BG38" i="7" s="1"/>
  <c r="BE38" i="7"/>
  <c r="AZ38" i="7"/>
  <c r="BC38" i="7" s="1"/>
  <c r="N38" i="7" s="1"/>
  <c r="BS60" i="7"/>
  <c r="BV60" i="7" s="1"/>
  <c r="Q60" i="7" s="1"/>
  <c r="BX60" i="7"/>
  <c r="BY60" i="7"/>
  <c r="BZ60" i="7" s="1"/>
  <c r="BE39" i="7"/>
  <c r="BF39" i="7"/>
  <c r="BG39" i="7" s="1"/>
  <c r="AZ39" i="7"/>
  <c r="BC39" i="7" s="1"/>
  <c r="N39" i="7" s="1"/>
  <c r="AM51" i="7"/>
  <c r="AN51" i="7" s="1"/>
  <c r="AL51" i="7"/>
  <c r="AG51" i="7"/>
  <c r="AJ51" i="7" s="1"/>
  <c r="K51" i="7" s="1"/>
  <c r="AA51" i="7"/>
  <c r="AD51" i="7" s="1"/>
  <c r="BF49" i="7"/>
  <c r="BG49" i="7" s="1"/>
  <c r="BE49" i="7"/>
  <c r="AZ49" i="7"/>
  <c r="BC49" i="7" s="1"/>
  <c r="AG21" i="7"/>
  <c r="AJ21" i="7" s="1"/>
  <c r="K21" i="7" s="1"/>
  <c r="AM21" i="7"/>
  <c r="AN21" i="7" s="1"/>
  <c r="AL21" i="7"/>
  <c r="AA21" i="7"/>
  <c r="AD21" i="7" s="1"/>
  <c r="BY48" i="7"/>
  <c r="BZ48" i="7" s="1"/>
  <c r="BS48" i="7"/>
  <c r="BV48" i="7" s="1"/>
  <c r="Q48" i="7" s="1"/>
  <c r="BX48" i="7"/>
  <c r="BF44" i="7"/>
  <c r="BG44" i="7" s="1"/>
  <c r="BE44" i="7"/>
  <c r="BH44" i="7" s="1"/>
  <c r="O44" i="7" s="1"/>
  <c r="AZ44" i="7"/>
  <c r="BC44" i="7" s="1"/>
  <c r="N44" i="7" s="1"/>
  <c r="BX35" i="7"/>
  <c r="BS35" i="7"/>
  <c r="BV35" i="7" s="1"/>
  <c r="Q35" i="7" s="1"/>
  <c r="BY35" i="7"/>
  <c r="BZ35" i="7" s="1"/>
  <c r="BY46" i="7"/>
  <c r="BZ46" i="7" s="1"/>
  <c r="BX46" i="7"/>
  <c r="BS46" i="7"/>
  <c r="BV46" i="7" s="1"/>
  <c r="Q46" i="7" s="1"/>
  <c r="AM54" i="7"/>
  <c r="AN54" i="7" s="1"/>
  <c r="AL54" i="7"/>
  <c r="AA54" i="7"/>
  <c r="AD54" i="7" s="1"/>
  <c r="AG54" i="7"/>
  <c r="AJ54" i="7" s="1"/>
  <c r="K54" i="7" s="1"/>
  <c r="AM13" i="7"/>
  <c r="AN13" i="7" s="1"/>
  <c r="AL13" i="7"/>
  <c r="AA13" i="7"/>
  <c r="AD13" i="7" s="1"/>
  <c r="AG13" i="7"/>
  <c r="AJ13" i="7" s="1"/>
  <c r="K13" i="7" s="1"/>
  <c r="BF54" i="7"/>
  <c r="BG54" i="7" s="1"/>
  <c r="AZ54" i="7"/>
  <c r="BC54" i="7" s="1"/>
  <c r="N54" i="7" s="1"/>
  <c r="BE54" i="7"/>
  <c r="EO92" i="7"/>
  <c r="AO53" i="7"/>
  <c r="L53" i="7" s="1"/>
  <c r="AO43" i="7"/>
  <c r="L43" i="7" s="1"/>
  <c r="CA42" i="7"/>
  <c r="R42" i="7" s="1"/>
  <c r="CA54" i="7"/>
  <c r="R54" i="7" s="1"/>
  <c r="CA24" i="7"/>
  <c r="R24" i="7" s="1"/>
  <c r="BH48" i="7"/>
  <c r="O48" i="7" s="1"/>
  <c r="CA15" i="7"/>
  <c r="R15" i="7" s="1"/>
  <c r="AM46" i="7"/>
  <c r="AN46" i="7" s="1"/>
  <c r="AG46" i="7"/>
  <c r="AJ46" i="7" s="1"/>
  <c r="K46" i="7" s="1"/>
  <c r="AL46" i="7"/>
  <c r="AA46" i="7"/>
  <c r="AD46" i="7" s="1"/>
  <c r="AA20" i="7"/>
  <c r="AD20" i="7" s="1"/>
  <c r="AG20" i="7"/>
  <c r="AJ20" i="7" s="1"/>
  <c r="K20" i="7" s="1"/>
  <c r="AM20" i="7"/>
  <c r="AN20" i="7" s="1"/>
  <c r="AL20" i="7"/>
  <c r="AA26" i="7"/>
  <c r="AD26" i="7" s="1"/>
  <c r="AG26" i="7"/>
  <c r="AJ26" i="7" s="1"/>
  <c r="K26" i="7" s="1"/>
  <c r="AL26" i="7"/>
  <c r="AM26" i="7"/>
  <c r="AN26" i="7" s="1"/>
  <c r="BX41" i="7"/>
  <c r="BS41" i="7"/>
  <c r="BV41" i="7" s="1"/>
  <c r="Q41" i="7" s="1"/>
  <c r="BY41" i="7"/>
  <c r="BZ41" i="7" s="1"/>
  <c r="BE41" i="7"/>
  <c r="AZ41" i="7"/>
  <c r="BC41" i="7" s="1"/>
  <c r="N41" i="7" s="1"/>
  <c r="BF41" i="7"/>
  <c r="BG41" i="7" s="1"/>
  <c r="AM58" i="7"/>
  <c r="AN58" i="7" s="1"/>
  <c r="AA58" i="7"/>
  <c r="AD58" i="7" s="1"/>
  <c r="AG58" i="7"/>
  <c r="AJ58" i="7" s="1"/>
  <c r="K58" i="7" s="1"/>
  <c r="AL58" i="7"/>
  <c r="AL25" i="7"/>
  <c r="AA25" i="7"/>
  <c r="AD25" i="7" s="1"/>
  <c r="AM25" i="7"/>
  <c r="AN25" i="7" s="1"/>
  <c r="AG25" i="7"/>
  <c r="AJ25" i="7" s="1"/>
  <c r="K25" i="7" s="1"/>
  <c r="AG42" i="7"/>
  <c r="AJ42" i="7" s="1"/>
  <c r="K42" i="7" s="1"/>
  <c r="AM42" i="7"/>
  <c r="AN42" i="7" s="1"/>
  <c r="AL42" i="7"/>
  <c r="AA42" i="7"/>
  <c r="AD42" i="7" s="1"/>
  <c r="BY44" i="7"/>
  <c r="BZ44" i="7" s="1"/>
  <c r="BX44" i="7"/>
  <c r="BS44" i="7"/>
  <c r="BV44" i="7" s="1"/>
  <c r="Q44" i="7" s="1"/>
  <c r="AG39" i="7"/>
  <c r="AJ39" i="7" s="1"/>
  <c r="K39" i="7" s="1"/>
  <c r="AL39" i="7"/>
  <c r="AM39" i="7"/>
  <c r="AN39" i="7" s="1"/>
  <c r="AA39" i="7"/>
  <c r="AD39" i="7" s="1"/>
  <c r="AG32" i="7"/>
  <c r="AJ32" i="7" s="1"/>
  <c r="K32" i="7" s="1"/>
  <c r="AM32" i="7"/>
  <c r="AN32" i="7" s="1"/>
  <c r="AL32" i="7"/>
  <c r="AA32" i="7"/>
  <c r="AD32" i="7" s="1"/>
  <c r="BY59" i="7"/>
  <c r="BZ59" i="7" s="1"/>
  <c r="BX59" i="7"/>
  <c r="CA59" i="7" s="1"/>
  <c r="BS59" i="7"/>
  <c r="BV59" i="7" s="1"/>
  <c r="Q59" i="7" s="1"/>
  <c r="EO134" i="7"/>
  <c r="EP149" i="7"/>
  <c r="EP187" i="7"/>
  <c r="EP84" i="7"/>
  <c r="EP59" i="7"/>
  <c r="EO65" i="7"/>
  <c r="EP150" i="7"/>
  <c r="EP140" i="7"/>
  <c r="EO113" i="7"/>
  <c r="EO166" i="7"/>
  <c r="EP104" i="7"/>
  <c r="EP148" i="7"/>
  <c r="EP77" i="7"/>
  <c r="EN116" i="7"/>
  <c r="EP116" i="7" s="1"/>
  <c r="EP193" i="7"/>
  <c r="EO184" i="7"/>
  <c r="EO120" i="7"/>
  <c r="EO78" i="7"/>
  <c r="EP76" i="7"/>
  <c r="EP114" i="7"/>
  <c r="EP67" i="7"/>
  <c r="EO83" i="7"/>
  <c r="EP194" i="7"/>
  <c r="EP85" i="7"/>
  <c r="EO88" i="7"/>
  <c r="EP88" i="7"/>
  <c r="EP135" i="7"/>
  <c r="EP105" i="7"/>
  <c r="EP205" i="7"/>
  <c r="EP142" i="7"/>
  <c r="EP147" i="7"/>
  <c r="EO151" i="7"/>
  <c r="EN156" i="7"/>
  <c r="EO156" i="7" s="1"/>
  <c r="R25" i="7"/>
  <c r="L12" i="7"/>
  <c r="L45" i="7"/>
  <c r="N50" i="7"/>
  <c r="EN143" i="7"/>
  <c r="EO204" i="7"/>
  <c r="EN101" i="7"/>
  <c r="EP60" i="7"/>
  <c r="EO60" i="7"/>
  <c r="J36" i="7"/>
  <c r="L41" i="7"/>
  <c r="J53" i="7"/>
  <c r="EP102" i="7"/>
  <c r="EO102" i="7"/>
  <c r="J29" i="7"/>
  <c r="EM133" i="7"/>
  <c r="EQ133" i="7" s="1"/>
  <c r="ER133" i="7" s="1"/>
  <c r="AQ37" i="7" s="1"/>
  <c r="EN133" i="7"/>
  <c r="EP133" i="7" s="1"/>
  <c r="EM124" i="7"/>
  <c r="EQ124" i="7" s="1"/>
  <c r="ER124" i="7" s="1"/>
  <c r="AQ28" i="7" s="1"/>
  <c r="EN124" i="7"/>
  <c r="EO124" i="7" s="1"/>
  <c r="EM174" i="7"/>
  <c r="EQ174" i="7" s="1"/>
  <c r="ER174" i="7" s="1"/>
  <c r="BJ28" i="7" s="1"/>
  <c r="EN174" i="7"/>
  <c r="EO174" i="7" s="1"/>
  <c r="EM130" i="7"/>
  <c r="EQ130" i="7" s="1"/>
  <c r="ER130" i="7" s="1"/>
  <c r="AQ34" i="7" s="1"/>
  <c r="EN130" i="7"/>
  <c r="EO130" i="7" s="1"/>
  <c r="J43" i="7"/>
  <c r="J18" i="7"/>
  <c r="EO131" i="7"/>
  <c r="EP131" i="7"/>
  <c r="EO103" i="7"/>
  <c r="EP103" i="7"/>
  <c r="J19" i="7"/>
  <c r="EM115" i="7"/>
  <c r="EQ115" i="7" s="1"/>
  <c r="ER115" i="7" s="1"/>
  <c r="AQ19" i="7" s="1"/>
  <c r="AT19" i="7" s="1"/>
  <c r="AW19" i="7" s="1"/>
  <c r="M19" i="7" s="1"/>
  <c r="EN115" i="7"/>
  <c r="EO115" i="7" s="1"/>
  <c r="EM183" i="7"/>
  <c r="EQ183" i="7" s="1"/>
  <c r="ER183" i="7" s="1"/>
  <c r="BJ37" i="7" s="1"/>
  <c r="EN183" i="7"/>
  <c r="EP183" i="7" s="1"/>
  <c r="EO117" i="7"/>
  <c r="EP117" i="7"/>
  <c r="EO66" i="7"/>
  <c r="EP66" i="7"/>
  <c r="EO181" i="7"/>
  <c r="J45" i="7"/>
  <c r="J17" i="7"/>
  <c r="EO90" i="7"/>
  <c r="EP90" i="7"/>
  <c r="EN126" i="7"/>
  <c r="EN165" i="7"/>
  <c r="EM139" i="7"/>
  <c r="EQ139" i="7" s="1"/>
  <c r="ER139" i="7" s="1"/>
  <c r="AQ43" i="7" s="1"/>
  <c r="EN139" i="7"/>
  <c r="EP139" i="7" s="1"/>
  <c r="EN136" i="7"/>
  <c r="J27" i="7"/>
  <c r="EO137" i="7"/>
  <c r="EP137" i="7"/>
  <c r="EO176" i="7"/>
  <c r="EP176" i="7"/>
  <c r="R34" i="7"/>
  <c r="J35" i="7"/>
  <c r="J40" i="7"/>
  <c r="R26" i="7"/>
  <c r="J41" i="7"/>
  <c r="J22" i="7"/>
  <c r="EO93" i="7"/>
  <c r="EP93" i="7"/>
  <c r="R49" i="7"/>
  <c r="J60" i="7"/>
  <c r="EO206" i="7"/>
  <c r="EP206" i="7"/>
  <c r="BA151" i="3"/>
  <c r="AD632" i="6"/>
  <c r="BA175" i="3"/>
  <c r="AD644" i="6"/>
  <c r="BA198" i="3"/>
  <c r="AD656" i="6"/>
  <c r="BB147" i="3"/>
  <c r="BB150" i="3" s="1"/>
  <c r="BB149" i="3"/>
  <c r="BB151" i="3" s="1"/>
  <c r="BB172" i="3"/>
  <c r="BB174" i="3" s="1"/>
  <c r="BB170" i="3"/>
  <c r="BB173" i="3" s="1"/>
  <c r="BC191" i="3"/>
  <c r="BC192" i="3" s="1"/>
  <c r="BC194" i="3" s="1"/>
  <c r="BD167" i="3"/>
  <c r="BD165" i="3"/>
  <c r="BD166" i="3" s="1"/>
  <c r="BE185" i="3"/>
  <c r="BF181" i="3"/>
  <c r="BE186" i="3"/>
  <c r="BD144" i="3"/>
  <c r="BD142" i="3"/>
  <c r="BD143" i="3" s="1"/>
  <c r="BF158" i="3"/>
  <c r="BE163" i="3"/>
  <c r="BE162" i="3"/>
  <c r="BB194" i="3"/>
  <c r="BB193" i="3"/>
  <c r="BB196" i="3" s="1"/>
  <c r="BB195" i="3"/>
  <c r="BB197" i="3" s="1"/>
  <c r="BD188" i="3"/>
  <c r="BD189" i="3" s="1"/>
  <c r="BD190" i="3"/>
  <c r="BC145" i="3"/>
  <c r="BC146" i="3" s="1"/>
  <c r="BC168" i="3"/>
  <c r="BC169" i="3" s="1"/>
  <c r="BE139" i="3"/>
  <c r="BE140" i="3"/>
  <c r="BF135" i="3"/>
  <c r="J11" i="7"/>
  <c r="BP11" i="7"/>
  <c r="P11" i="7" s="1"/>
  <c r="AO11" i="7"/>
  <c r="L11" i="7" s="1"/>
  <c r="K11" i="7"/>
  <c r="BX11" i="7"/>
  <c r="BS11" i="7"/>
  <c r="BY11" i="7"/>
  <c r="BZ11" i="7" s="1"/>
  <c r="BH57" i="3"/>
  <c r="BH56" i="3"/>
  <c r="BH55" i="3"/>
  <c r="BH58" i="3" s="1"/>
  <c r="BE79" i="3"/>
  <c r="BE80" i="3"/>
  <c r="BE78" i="3"/>
  <c r="BE81" i="3" s="1"/>
  <c r="BH32" i="3"/>
  <c r="BH33" i="3"/>
  <c r="BH31" i="3"/>
  <c r="BH34" i="3" s="1"/>
  <c r="BE33" i="3"/>
  <c r="BE32" i="3"/>
  <c r="BE31" i="3"/>
  <c r="BE34" i="3" s="1"/>
  <c r="BH80" i="3"/>
  <c r="BH79" i="3"/>
  <c r="BH78" i="3"/>
  <c r="BH81" i="3" s="1"/>
  <c r="BE57" i="3"/>
  <c r="BE56" i="3"/>
  <c r="BE55" i="3"/>
  <c r="BE58" i="3" s="1"/>
  <c r="EM136" i="7"/>
  <c r="EQ136" i="7" s="1"/>
  <c r="ER136" i="7" s="1"/>
  <c r="AQ40" i="7" s="1"/>
  <c r="EM116" i="7"/>
  <c r="EQ116" i="7" s="1"/>
  <c r="ER116" i="7" s="1"/>
  <c r="AQ20" i="7" s="1"/>
  <c r="AT20" i="7" s="1"/>
  <c r="AW20" i="7" s="1"/>
  <c r="M20" i="7" s="1"/>
  <c r="EJ74" i="7"/>
  <c r="EK74" i="7"/>
  <c r="EM165" i="7"/>
  <c r="EQ165" i="7" s="1"/>
  <c r="ER165" i="7" s="1"/>
  <c r="BJ19" i="7" s="1"/>
  <c r="BM19" i="7" s="1"/>
  <c r="BP19" i="7" s="1"/>
  <c r="P19" i="7" s="1"/>
  <c r="EJ122" i="7"/>
  <c r="EK122" i="7"/>
  <c r="EK141" i="7"/>
  <c r="EJ141" i="7"/>
  <c r="EM143" i="7"/>
  <c r="EQ143" i="7" s="1"/>
  <c r="ER143" i="7" s="1"/>
  <c r="AQ47" i="7" s="1"/>
  <c r="EM156" i="7"/>
  <c r="EQ156" i="7" s="1"/>
  <c r="ER156" i="7" s="1"/>
  <c r="AQ60" i="7" s="1"/>
  <c r="EM126" i="7"/>
  <c r="EQ126" i="7" s="1"/>
  <c r="ER126" i="7" s="1"/>
  <c r="AQ30" i="7" s="1"/>
  <c r="EK79" i="7"/>
  <c r="EJ79" i="7"/>
  <c r="EM204" i="7"/>
  <c r="EQ204" i="7" s="1"/>
  <c r="ER204" i="7" s="1"/>
  <c r="BJ58" i="7" s="1"/>
  <c r="EM101" i="7"/>
  <c r="EQ101" i="7" s="1"/>
  <c r="ER101" i="7" s="1"/>
  <c r="X55" i="7" s="1"/>
  <c r="EK80" i="7"/>
  <c r="EJ80" i="7"/>
  <c r="BH18" i="7" l="1"/>
  <c r="O18" i="7" s="1"/>
  <c r="CC50" i="7"/>
  <c r="D703" i="6" s="1"/>
  <c r="AO42" i="7"/>
  <c r="AO47" i="7"/>
  <c r="L47" i="7" s="1"/>
  <c r="CA38" i="7"/>
  <c r="R38" i="7" s="1"/>
  <c r="AO31" i="7"/>
  <c r="L31" i="7" s="1"/>
  <c r="AO30" i="7"/>
  <c r="L30" i="7" s="1"/>
  <c r="AO39" i="7"/>
  <c r="L39" i="7" s="1"/>
  <c r="AO26" i="7"/>
  <c r="L26" i="7" s="1"/>
  <c r="AO25" i="7"/>
  <c r="L25" i="7" s="1"/>
  <c r="AO46" i="7"/>
  <c r="L46" i="7" s="1"/>
  <c r="AO13" i="7"/>
  <c r="L13" i="7" s="1"/>
  <c r="AO54" i="7"/>
  <c r="L54" i="7" s="1"/>
  <c r="BH38" i="7"/>
  <c r="O38" i="7" s="1"/>
  <c r="CA47" i="7"/>
  <c r="R47" i="7" s="1"/>
  <c r="BH35" i="7"/>
  <c r="O35" i="7" s="1"/>
  <c r="AO37" i="7"/>
  <c r="L37" i="7" s="1"/>
  <c r="CA30" i="7"/>
  <c r="R30" i="7" s="1"/>
  <c r="BY19" i="7"/>
  <c r="BZ19" i="7" s="1"/>
  <c r="BX19" i="7"/>
  <c r="BS19" i="7"/>
  <c r="BV19" i="7" s="1"/>
  <c r="Q19" i="7" s="1"/>
  <c r="AM55" i="7"/>
  <c r="AN55" i="7" s="1"/>
  <c r="AL55" i="7"/>
  <c r="AG55" i="7"/>
  <c r="AJ55" i="7" s="1"/>
  <c r="K55" i="7" s="1"/>
  <c r="AA55" i="7"/>
  <c r="AD55" i="7" s="1"/>
  <c r="BF30" i="7"/>
  <c r="BG30" i="7" s="1"/>
  <c r="AZ30" i="7"/>
  <c r="BC30" i="7" s="1"/>
  <c r="N30" i="7" s="1"/>
  <c r="BE30" i="7"/>
  <c r="BE43" i="7"/>
  <c r="BF43" i="7"/>
  <c r="BG43" i="7" s="1"/>
  <c r="AZ43" i="7"/>
  <c r="BC43" i="7" s="1"/>
  <c r="N43" i="7" s="1"/>
  <c r="CA60" i="7"/>
  <c r="R60" i="7" s="1"/>
  <c r="BY58" i="7"/>
  <c r="BZ58" i="7" s="1"/>
  <c r="BS58" i="7"/>
  <c r="BV58" i="7" s="1"/>
  <c r="Q58" i="7" s="1"/>
  <c r="BX58" i="7"/>
  <c r="BE34" i="7"/>
  <c r="BF34" i="7"/>
  <c r="BG34" i="7" s="1"/>
  <c r="AZ34" i="7"/>
  <c r="BC34" i="7" s="1"/>
  <c r="N34" i="7" s="1"/>
  <c r="BY28" i="7"/>
  <c r="BZ28" i="7" s="1"/>
  <c r="BS28" i="7"/>
  <c r="BV28" i="7" s="1"/>
  <c r="Q28" i="7" s="1"/>
  <c r="BX28" i="7"/>
  <c r="BE37" i="7"/>
  <c r="BF37" i="7"/>
  <c r="BG37" i="7" s="1"/>
  <c r="AZ37" i="7"/>
  <c r="BC37" i="7" s="1"/>
  <c r="N37" i="7" s="1"/>
  <c r="CA41" i="7"/>
  <c r="R41" i="7" s="1"/>
  <c r="CA56" i="7"/>
  <c r="R56" i="7" s="1"/>
  <c r="AO44" i="7"/>
  <c r="L44" i="7" s="1"/>
  <c r="BH52" i="7"/>
  <c r="O52" i="7" s="1"/>
  <c r="BH55" i="7"/>
  <c r="O55" i="7" s="1"/>
  <c r="AZ40" i="7"/>
  <c r="BC40" i="7" s="1"/>
  <c r="BE40" i="7"/>
  <c r="BF40" i="7"/>
  <c r="BG40" i="7" s="1"/>
  <c r="BS37" i="7"/>
  <c r="BV37" i="7" s="1"/>
  <c r="Q37" i="7" s="1"/>
  <c r="BY37" i="7"/>
  <c r="BZ37" i="7" s="1"/>
  <c r="BX37" i="7"/>
  <c r="BE19" i="7"/>
  <c r="AZ19" i="7"/>
  <c r="BC19" i="7" s="1"/>
  <c r="N19" i="7" s="1"/>
  <c r="BF19" i="7"/>
  <c r="BG19" i="7" s="1"/>
  <c r="AZ28" i="7"/>
  <c r="BC28" i="7" s="1"/>
  <c r="N28" i="7" s="1"/>
  <c r="BE28" i="7"/>
  <c r="BF28" i="7"/>
  <c r="BG28" i="7" s="1"/>
  <c r="AO58" i="7"/>
  <c r="L58" i="7" s="1"/>
  <c r="AZ60" i="7"/>
  <c r="BC60" i="7" s="1"/>
  <c r="N60" i="7" s="1"/>
  <c r="BE60" i="7"/>
  <c r="BF60" i="7"/>
  <c r="BG60" i="7" s="1"/>
  <c r="BF47" i="7"/>
  <c r="BG47" i="7" s="1"/>
  <c r="AZ47" i="7"/>
  <c r="BC47" i="7" s="1"/>
  <c r="N47" i="7" s="1"/>
  <c r="BE47" i="7"/>
  <c r="BE20" i="7"/>
  <c r="BF20" i="7"/>
  <c r="BG20" i="7" s="1"/>
  <c r="AZ20" i="7"/>
  <c r="BC20" i="7" s="1"/>
  <c r="N20" i="7" s="1"/>
  <c r="AO32" i="7"/>
  <c r="L32" i="7" s="1"/>
  <c r="CA44" i="7"/>
  <c r="R44" i="7" s="1"/>
  <c r="BH41" i="7"/>
  <c r="O41" i="7" s="1"/>
  <c r="AO20" i="7"/>
  <c r="L20" i="7" s="1"/>
  <c r="BH54" i="7"/>
  <c r="O54" i="7" s="1"/>
  <c r="CA46" i="7"/>
  <c r="R46" i="7" s="1"/>
  <c r="CA35" i="7"/>
  <c r="CA48" i="7"/>
  <c r="AO21" i="7"/>
  <c r="L21" i="7" s="1"/>
  <c r="BH49" i="7"/>
  <c r="O49" i="7" s="1"/>
  <c r="AO51" i="7"/>
  <c r="L51" i="7" s="1"/>
  <c r="BH39" i="7"/>
  <c r="O39" i="7" s="1"/>
  <c r="AO57" i="7"/>
  <c r="L57" i="7" s="1"/>
  <c r="BH53" i="7"/>
  <c r="O53" i="7" s="1"/>
  <c r="AO14" i="7"/>
  <c r="L14" i="7" s="1"/>
  <c r="BH46" i="7"/>
  <c r="O46" i="7" s="1"/>
  <c r="AO59" i="7"/>
  <c r="L59" i="7" s="1"/>
  <c r="CA20" i="7"/>
  <c r="R20" i="7" s="1"/>
  <c r="BH51" i="7"/>
  <c r="O51" i="7" s="1"/>
  <c r="BH21" i="7"/>
  <c r="O21" i="7" s="1"/>
  <c r="EP115" i="7"/>
  <c r="EO133" i="7"/>
  <c r="EO183" i="7"/>
  <c r="EP124" i="7"/>
  <c r="EO116" i="7"/>
  <c r="EP130" i="7"/>
  <c r="EP156" i="7"/>
  <c r="EP174" i="7"/>
  <c r="EN79" i="7"/>
  <c r="EN122" i="7"/>
  <c r="EN74" i="7"/>
  <c r="EP74" i="7" s="1"/>
  <c r="CC23" i="7"/>
  <c r="D676" i="6" s="1"/>
  <c r="EN141" i="7"/>
  <c r="CC29" i="7"/>
  <c r="D682" i="6" s="1"/>
  <c r="CC24" i="7"/>
  <c r="D677" i="6" s="1"/>
  <c r="CC17" i="7"/>
  <c r="D670" i="6" s="1"/>
  <c r="R59" i="7"/>
  <c r="CC16" i="7"/>
  <c r="D669" i="6" s="1"/>
  <c r="J54" i="7"/>
  <c r="EO139" i="7"/>
  <c r="CC27" i="7"/>
  <c r="D680" i="6" s="1"/>
  <c r="N49" i="7"/>
  <c r="EO126" i="7"/>
  <c r="EP126" i="7"/>
  <c r="J39" i="7"/>
  <c r="J59" i="7"/>
  <c r="J14" i="7"/>
  <c r="N52" i="7"/>
  <c r="CC36" i="7"/>
  <c r="D689" i="6" s="1"/>
  <c r="J38" i="7"/>
  <c r="EP143" i="7"/>
  <c r="EO143" i="7"/>
  <c r="J44" i="7"/>
  <c r="J26" i="7"/>
  <c r="EO136" i="7"/>
  <c r="EP136" i="7"/>
  <c r="J25" i="7"/>
  <c r="J13" i="7"/>
  <c r="J51" i="7"/>
  <c r="J47" i="7"/>
  <c r="EN80" i="7"/>
  <c r="J58" i="7"/>
  <c r="J32" i="7"/>
  <c r="L42" i="7"/>
  <c r="CC15" i="7"/>
  <c r="D668" i="6" s="1"/>
  <c r="CC22" i="7"/>
  <c r="D675" i="6" s="1"/>
  <c r="J37" i="7"/>
  <c r="J21" i="7"/>
  <c r="J20" i="7"/>
  <c r="J56" i="7"/>
  <c r="EO165" i="7"/>
  <c r="EP165" i="7"/>
  <c r="J42" i="7"/>
  <c r="CC42" i="7"/>
  <c r="D695" i="6" s="1"/>
  <c r="J31" i="7"/>
  <c r="J46" i="7"/>
  <c r="L38" i="7"/>
  <c r="J57" i="7"/>
  <c r="EP101" i="7"/>
  <c r="EO101" i="7"/>
  <c r="J30" i="7"/>
  <c r="CC12" i="7"/>
  <c r="D665" i="6" s="1"/>
  <c r="BB198" i="3"/>
  <c r="AE656" i="6"/>
  <c r="BB152" i="3"/>
  <c r="AE632" i="6"/>
  <c r="BB175" i="3"/>
  <c r="AE644" i="6"/>
  <c r="BC195" i="3"/>
  <c r="BC197" i="3" s="1"/>
  <c r="BC193" i="3"/>
  <c r="BC196" i="3" s="1"/>
  <c r="BD191" i="3"/>
  <c r="BD192" i="3" s="1"/>
  <c r="BD195" i="3" s="1"/>
  <c r="BD197" i="3" s="1"/>
  <c r="BD145" i="3"/>
  <c r="BD146" i="3" s="1"/>
  <c r="BF163" i="3"/>
  <c r="BF162" i="3"/>
  <c r="BG158" i="3"/>
  <c r="BF185" i="3"/>
  <c r="BG181" i="3"/>
  <c r="BF186" i="3"/>
  <c r="BF139" i="3"/>
  <c r="BF140" i="3"/>
  <c r="BG135" i="3"/>
  <c r="BC147" i="3"/>
  <c r="BC150" i="3" s="1"/>
  <c r="BC149" i="3"/>
  <c r="BC151" i="3" s="1"/>
  <c r="BC148" i="3"/>
  <c r="BC171" i="3"/>
  <c r="BC170" i="3"/>
  <c r="BC173" i="3" s="1"/>
  <c r="BC172" i="3"/>
  <c r="BC174" i="3" s="1"/>
  <c r="BE144" i="3"/>
  <c r="BE142" i="3"/>
  <c r="BE143" i="3" s="1"/>
  <c r="BE165" i="3"/>
  <c r="BE166" i="3" s="1"/>
  <c r="BE167" i="3"/>
  <c r="BE188" i="3"/>
  <c r="BE189" i="3" s="1"/>
  <c r="BE190" i="3"/>
  <c r="BD168" i="3"/>
  <c r="BD169" i="3" s="1"/>
  <c r="CA11" i="7"/>
  <c r="R11" i="7" s="1"/>
  <c r="BV11" i="7"/>
  <c r="Q11" i="7" s="1"/>
  <c r="BE83" i="3"/>
  <c r="X96" i="3" s="1"/>
  <c r="W96" i="3"/>
  <c r="BH83" i="3"/>
  <c r="X91" i="3" s="1"/>
  <c r="W91" i="3"/>
  <c r="BH82" i="3"/>
  <c r="Z91" i="3" s="1"/>
  <c r="Y91" i="3"/>
  <c r="Y96" i="3"/>
  <c r="BE82" i="3"/>
  <c r="Z96" i="3" s="1"/>
  <c r="BH60" i="3"/>
  <c r="X70" i="3" s="1"/>
  <c r="W70" i="3"/>
  <c r="Y75" i="3"/>
  <c r="BE59" i="3"/>
  <c r="Z75" i="3" s="1"/>
  <c r="BH35" i="3"/>
  <c r="Z49" i="3" s="1"/>
  <c r="Y49" i="3"/>
  <c r="W75" i="3"/>
  <c r="BE60" i="3"/>
  <c r="X75" i="3" s="1"/>
  <c r="Y54" i="3"/>
  <c r="BE35" i="3"/>
  <c r="Z54" i="3" s="1"/>
  <c r="BE36" i="3"/>
  <c r="X54" i="3" s="1"/>
  <c r="W54" i="3"/>
  <c r="W49" i="3"/>
  <c r="BH36" i="3"/>
  <c r="X49" i="3" s="1"/>
  <c r="Y70" i="3"/>
  <c r="BH59" i="3"/>
  <c r="Z70" i="3" s="1"/>
  <c r="EM122" i="7"/>
  <c r="EQ122" i="7" s="1"/>
  <c r="ER122" i="7" s="1"/>
  <c r="AQ26" i="7" s="1"/>
  <c r="EM79" i="7"/>
  <c r="EQ79" i="7" s="1"/>
  <c r="ER79" i="7" s="1"/>
  <c r="X33" i="7" s="1"/>
  <c r="EM141" i="7"/>
  <c r="EQ141" i="7" s="1"/>
  <c r="ER141" i="7" s="1"/>
  <c r="AQ45" i="7" s="1"/>
  <c r="EM74" i="7"/>
  <c r="EQ74" i="7" s="1"/>
  <c r="ER74" i="7" s="1"/>
  <c r="X28" i="7" s="1"/>
  <c r="EM80" i="7"/>
  <c r="EQ80" i="7" s="1"/>
  <c r="ER80" i="7" s="1"/>
  <c r="X34" i="7" s="1"/>
  <c r="BH37" i="7" l="1"/>
  <c r="O37" i="7" s="1"/>
  <c r="CA28" i="7"/>
  <c r="R28" i="7" s="1"/>
  <c r="CA19" i="7"/>
  <c r="R19" i="7" s="1"/>
  <c r="CC52" i="7"/>
  <c r="D705" i="6" s="1"/>
  <c r="BF45" i="7"/>
  <c r="BG45" i="7" s="1"/>
  <c r="BE45" i="7"/>
  <c r="BH45" i="7" s="1"/>
  <c r="AZ45" i="7"/>
  <c r="BC45" i="7" s="1"/>
  <c r="AM33" i="7"/>
  <c r="AN33" i="7" s="1"/>
  <c r="AL33" i="7"/>
  <c r="AG33" i="7"/>
  <c r="AJ33" i="7" s="1"/>
  <c r="K33" i="7" s="1"/>
  <c r="AA33" i="7"/>
  <c r="AD33" i="7" s="1"/>
  <c r="EO74" i="7"/>
  <c r="BH20" i="7"/>
  <c r="O20" i="7" s="1"/>
  <c r="AG34" i="7"/>
  <c r="AJ34" i="7" s="1"/>
  <c r="K34" i="7" s="1"/>
  <c r="AL34" i="7"/>
  <c r="AA34" i="7"/>
  <c r="AD34" i="7" s="1"/>
  <c r="AM34" i="7"/>
  <c r="AN34" i="7" s="1"/>
  <c r="BE26" i="7"/>
  <c r="AZ26" i="7"/>
  <c r="BC26" i="7" s="1"/>
  <c r="BF26" i="7"/>
  <c r="BG26" i="7" s="1"/>
  <c r="BH47" i="7"/>
  <c r="O47" i="7" s="1"/>
  <c r="BH60" i="7"/>
  <c r="CC60" i="7" s="1"/>
  <c r="BH28" i="7"/>
  <c r="O28" i="7" s="1"/>
  <c r="BH19" i="7"/>
  <c r="O19" i="7" s="1"/>
  <c r="BH34" i="7"/>
  <c r="O34" i="7" s="1"/>
  <c r="BH30" i="7"/>
  <c r="O30" i="7" s="1"/>
  <c r="BH43" i="7"/>
  <c r="O43" i="7" s="1"/>
  <c r="AM28" i="7"/>
  <c r="AN28" i="7" s="1"/>
  <c r="AA28" i="7"/>
  <c r="AD28" i="7" s="1"/>
  <c r="AG28" i="7"/>
  <c r="AJ28" i="7" s="1"/>
  <c r="K28" i="7" s="1"/>
  <c r="AL28" i="7"/>
  <c r="CC56" i="7"/>
  <c r="D709" i="6" s="1"/>
  <c r="CA37" i="7"/>
  <c r="R37" i="7" s="1"/>
  <c r="BH40" i="7"/>
  <c r="O40" i="7" s="1"/>
  <c r="CA58" i="7"/>
  <c r="R58" i="7" s="1"/>
  <c r="AO55" i="7"/>
  <c r="L55" i="7" s="1"/>
  <c r="CC25" i="7"/>
  <c r="D678" i="6" s="1"/>
  <c r="EP79" i="7"/>
  <c r="EO79" i="7"/>
  <c r="CC59" i="7"/>
  <c r="CC57" i="7"/>
  <c r="D710" i="6" s="1"/>
  <c r="EP122" i="7"/>
  <c r="EO122" i="7"/>
  <c r="CC31" i="7"/>
  <c r="D684" i="6" s="1"/>
  <c r="CC41" i="7"/>
  <c r="D694" i="6" s="1"/>
  <c r="CC18" i="7"/>
  <c r="D671" i="6" s="1"/>
  <c r="CC21" i="7"/>
  <c r="D674" i="6" s="1"/>
  <c r="EO141" i="7"/>
  <c r="EP141" i="7"/>
  <c r="CC14" i="7"/>
  <c r="D667" i="6" s="1"/>
  <c r="D712" i="6"/>
  <c r="CC44" i="7"/>
  <c r="D697" i="6" s="1"/>
  <c r="R35" i="7"/>
  <c r="CC35" i="7"/>
  <c r="D688" i="6" s="1"/>
  <c r="J55" i="7"/>
  <c r="CC38" i="7"/>
  <c r="D691" i="6" s="1"/>
  <c r="CC53" i="7"/>
  <c r="D706" i="6" s="1"/>
  <c r="CC49" i="7"/>
  <c r="D702" i="6" s="1"/>
  <c r="CC54" i="7"/>
  <c r="D707" i="6" s="1"/>
  <c r="CC32" i="7"/>
  <c r="D685" i="6" s="1"/>
  <c r="CC51" i="7"/>
  <c r="D704" i="6" s="1"/>
  <c r="CC46" i="7"/>
  <c r="D699" i="6" s="1"/>
  <c r="EP80" i="7"/>
  <c r="EO80" i="7"/>
  <c r="R48" i="7"/>
  <c r="CC48" i="7"/>
  <c r="D701" i="6" s="1"/>
  <c r="N40" i="7"/>
  <c r="CC13" i="7"/>
  <c r="D666" i="6" s="1"/>
  <c r="CC39" i="7"/>
  <c r="D692" i="6" s="1"/>
  <c r="BC175" i="3"/>
  <c r="AF644" i="6"/>
  <c r="BC198" i="3"/>
  <c r="AF656" i="6"/>
  <c r="BC152" i="3"/>
  <c r="AF632" i="6"/>
  <c r="BD194" i="3"/>
  <c r="CC11" i="7"/>
  <c r="D664" i="6" s="1"/>
  <c r="BD193" i="3"/>
  <c r="BD196" i="3" s="1"/>
  <c r="BE168" i="3"/>
  <c r="BE169" i="3" s="1"/>
  <c r="BE191" i="3"/>
  <c r="BE192" i="3" s="1"/>
  <c r="BE195" i="3" s="1"/>
  <c r="BE197" i="3" s="1"/>
  <c r="BE145" i="3"/>
  <c r="BE146" i="3" s="1"/>
  <c r="BD149" i="3"/>
  <c r="BD151" i="3" s="1"/>
  <c r="BD148" i="3"/>
  <c r="BD147" i="3"/>
  <c r="BD150" i="3" s="1"/>
  <c r="BF144" i="3"/>
  <c r="BF142" i="3"/>
  <c r="BF143" i="3" s="1"/>
  <c r="BG163" i="3"/>
  <c r="BG162" i="3"/>
  <c r="BH158" i="3"/>
  <c r="BF190" i="3"/>
  <c r="BF188" i="3"/>
  <c r="BF189" i="3" s="1"/>
  <c r="BD171" i="3"/>
  <c r="BD170" i="3"/>
  <c r="BD173" i="3" s="1"/>
  <c r="BD172" i="3"/>
  <c r="BD174" i="3" s="1"/>
  <c r="BH135" i="3"/>
  <c r="BG140" i="3"/>
  <c r="BG139" i="3"/>
  <c r="BG186" i="3"/>
  <c r="BG185" i="3"/>
  <c r="BH181" i="3"/>
  <c r="BF167" i="3"/>
  <c r="BF165" i="3"/>
  <c r="BF166" i="3" s="1"/>
  <c r="I728" i="6"/>
  <c r="I726" i="6"/>
  <c r="I739" i="6"/>
  <c r="I737" i="6"/>
  <c r="I748" i="6"/>
  <c r="I750" i="6"/>
  <c r="CC47" i="7" l="1"/>
  <c r="D700" i="6" s="1"/>
  <c r="AO28" i="7"/>
  <c r="L28" i="7" s="1"/>
  <c r="AO34" i="7"/>
  <c r="L34" i="7" s="1"/>
  <c r="BH26" i="7"/>
  <c r="O26" i="7" s="1"/>
  <c r="CC30" i="7"/>
  <c r="D683" i="6" s="1"/>
  <c r="AO33" i="7"/>
  <c r="L33" i="7" s="1"/>
  <c r="CC58" i="7"/>
  <c r="D711" i="6" s="1"/>
  <c r="CC43" i="7"/>
  <c r="D696" i="6" s="1"/>
  <c r="CC20" i="7"/>
  <c r="D673" i="6" s="1"/>
  <c r="CC19" i="7"/>
  <c r="D672" i="6" s="1"/>
  <c r="CC37" i="7"/>
  <c r="D690" i="6" s="1"/>
  <c r="CC55" i="7"/>
  <c r="D708" i="6" s="1"/>
  <c r="O45" i="7"/>
  <c r="CC40" i="7"/>
  <c r="D693" i="6" s="1"/>
  <c r="O60" i="7"/>
  <c r="D713" i="6"/>
  <c r="J34" i="7"/>
  <c r="J28" i="7"/>
  <c r="N45" i="7"/>
  <c r="N26" i="7"/>
  <c r="J33" i="7"/>
  <c r="BD152" i="3"/>
  <c r="AG632" i="6"/>
  <c r="BD175" i="3"/>
  <c r="AG644" i="6"/>
  <c r="BD198" i="3"/>
  <c r="AG656" i="6"/>
  <c r="BE193" i="3"/>
  <c r="BE196" i="3" s="1"/>
  <c r="BE194" i="3"/>
  <c r="BE149" i="3"/>
  <c r="BE151" i="3" s="1"/>
  <c r="BE148" i="3"/>
  <c r="BE147" i="3"/>
  <c r="BE150" i="3" s="1"/>
  <c r="BE172" i="3"/>
  <c r="BE174" i="3" s="1"/>
  <c r="BE170" i="3"/>
  <c r="BE173" i="3" s="1"/>
  <c r="BE171" i="3"/>
  <c r="BI135" i="3"/>
  <c r="BH139" i="3"/>
  <c r="BH140" i="3"/>
  <c r="BG167" i="3"/>
  <c r="BG165" i="3"/>
  <c r="BG166" i="3" s="1"/>
  <c r="BF168" i="3"/>
  <c r="BF169" i="3" s="1"/>
  <c r="BI158" i="3"/>
  <c r="BH163" i="3"/>
  <c r="BH162" i="3"/>
  <c r="BF145" i="3"/>
  <c r="BF146" i="3" s="1"/>
  <c r="BI181" i="3"/>
  <c r="BH186" i="3"/>
  <c r="BH185" i="3"/>
  <c r="BG142" i="3"/>
  <c r="BG143" i="3" s="1"/>
  <c r="BG144" i="3"/>
  <c r="BG188" i="3"/>
  <c r="BG189" i="3" s="1"/>
  <c r="BG190" i="3"/>
  <c r="BF191" i="3"/>
  <c r="BF192" i="3" s="1"/>
  <c r="CC33" i="7" l="1"/>
  <c r="D686" i="6" s="1"/>
  <c r="CC28" i="7"/>
  <c r="D681" i="6" s="1"/>
  <c r="CC34" i="7"/>
  <c r="D687" i="6" s="1"/>
  <c r="CC45" i="7"/>
  <c r="D698" i="6" s="1"/>
  <c r="CC26" i="7"/>
  <c r="D679" i="6" s="1"/>
  <c r="BG191" i="3"/>
  <c r="BG192" i="3" s="1"/>
  <c r="BG194" i="3" s="1"/>
  <c r="BE152" i="3"/>
  <c r="AH632" i="6"/>
  <c r="BE198" i="3"/>
  <c r="AH656" i="6"/>
  <c r="BE175" i="3"/>
  <c r="AH644" i="6"/>
  <c r="BF171" i="3"/>
  <c r="BF172" i="3"/>
  <c r="BF174" i="3" s="1"/>
  <c r="BF170" i="3"/>
  <c r="BF173" i="3" s="1"/>
  <c r="BH188" i="3"/>
  <c r="BH189" i="3" s="1"/>
  <c r="BH190" i="3"/>
  <c r="BH165" i="3"/>
  <c r="BH166" i="3" s="1"/>
  <c r="BH167" i="3"/>
  <c r="BG168" i="3"/>
  <c r="BG169" i="3" s="1"/>
  <c r="BF147" i="3"/>
  <c r="BF150" i="3" s="1"/>
  <c r="BF149" i="3"/>
  <c r="BF151" i="3" s="1"/>
  <c r="BF148" i="3"/>
  <c r="BG145" i="3"/>
  <c r="BG146" i="3" s="1"/>
  <c r="BI185" i="3"/>
  <c r="BI186" i="3"/>
  <c r="BJ181" i="3"/>
  <c r="BI163" i="3"/>
  <c r="BJ158" i="3"/>
  <c r="BI162" i="3"/>
  <c r="BH142" i="3"/>
  <c r="BH143" i="3" s="1"/>
  <c r="BH144" i="3"/>
  <c r="BF194" i="3"/>
  <c r="BF193" i="3"/>
  <c r="BF196" i="3" s="1"/>
  <c r="BF195" i="3"/>
  <c r="BF197" i="3" s="1"/>
  <c r="BI139" i="3"/>
  <c r="BI140" i="3"/>
  <c r="BJ135" i="3"/>
  <c r="BG193" i="3" l="1"/>
  <c r="BG196" i="3" s="1"/>
  <c r="BG198" i="3" s="1"/>
  <c r="BG195" i="3"/>
  <c r="BG197" i="3" s="1"/>
  <c r="BF198" i="3"/>
  <c r="AI656" i="6"/>
  <c r="BF152" i="3"/>
  <c r="AI632" i="6"/>
  <c r="BF175" i="3"/>
  <c r="AI644" i="6"/>
  <c r="BK135" i="3"/>
  <c r="BJ139" i="3"/>
  <c r="BJ140" i="3"/>
  <c r="BJ162" i="3"/>
  <c r="BJ163" i="3"/>
  <c r="BK158" i="3"/>
  <c r="BG170" i="3"/>
  <c r="BG173" i="3" s="1"/>
  <c r="BG171" i="3"/>
  <c r="BG172" i="3"/>
  <c r="BG174" i="3" s="1"/>
  <c r="BJ186" i="3"/>
  <c r="BJ185" i="3"/>
  <c r="BK181" i="3"/>
  <c r="BI144" i="3"/>
  <c r="BI142" i="3"/>
  <c r="BI143" i="3" s="1"/>
  <c r="BH145" i="3"/>
  <c r="BH146" i="3" s="1"/>
  <c r="BI165" i="3"/>
  <c r="BI166" i="3" s="1"/>
  <c r="BI167" i="3"/>
  <c r="BG149" i="3"/>
  <c r="BG151" i="3" s="1"/>
  <c r="BG148" i="3"/>
  <c r="BG147" i="3"/>
  <c r="BG150" i="3" s="1"/>
  <c r="BH168" i="3"/>
  <c r="BH169" i="3" s="1"/>
  <c r="BI188" i="3"/>
  <c r="BI189" i="3" s="1"/>
  <c r="BI190" i="3"/>
  <c r="BH191" i="3"/>
  <c r="BH192" i="3" s="1"/>
  <c r="AJ656" i="6" l="1"/>
  <c r="BG152" i="3"/>
  <c r="AJ632" i="6"/>
  <c r="BG175" i="3"/>
  <c r="AJ644" i="6"/>
  <c r="BI191" i="3"/>
  <c r="BI192" i="3" s="1"/>
  <c r="BI195" i="3" s="1"/>
  <c r="BI197" i="3" s="1"/>
  <c r="BH193" i="3"/>
  <c r="BH196" i="3" s="1"/>
  <c r="BH195" i="3"/>
  <c r="BH197" i="3" s="1"/>
  <c r="BH194" i="3"/>
  <c r="BK185" i="3"/>
  <c r="BK186" i="3"/>
  <c r="BL181" i="3"/>
  <c r="BJ188" i="3"/>
  <c r="BJ189" i="3" s="1"/>
  <c r="BJ190" i="3"/>
  <c r="BL158" i="3"/>
  <c r="BK163" i="3"/>
  <c r="BK162" i="3"/>
  <c r="BH147" i="3"/>
  <c r="BH150" i="3" s="1"/>
  <c r="BH148" i="3"/>
  <c r="BH149" i="3"/>
  <c r="BH151" i="3" s="1"/>
  <c r="BJ142" i="3"/>
  <c r="BJ143" i="3" s="1"/>
  <c r="BJ144" i="3"/>
  <c r="BH170" i="3"/>
  <c r="BH173" i="3" s="1"/>
  <c r="BH172" i="3"/>
  <c r="BH174" i="3" s="1"/>
  <c r="BH171" i="3"/>
  <c r="BI168" i="3"/>
  <c r="BI169" i="3" s="1"/>
  <c r="BI145" i="3"/>
  <c r="BI146" i="3" s="1"/>
  <c r="BJ167" i="3"/>
  <c r="BJ165" i="3"/>
  <c r="BJ166" i="3" s="1"/>
  <c r="BK140" i="3"/>
  <c r="BL135" i="3"/>
  <c r="BK139" i="3"/>
  <c r="BI193" i="3" l="1"/>
  <c r="BI196" i="3" s="1"/>
  <c r="BI198" i="3" s="1"/>
  <c r="BH175" i="3"/>
  <c r="AK644" i="6"/>
  <c r="BH152" i="3"/>
  <c r="AK632" i="6"/>
  <c r="BH198" i="3"/>
  <c r="AK656" i="6"/>
  <c r="BI194" i="3"/>
  <c r="BJ145" i="3"/>
  <c r="BJ146" i="3" s="1"/>
  <c r="BJ147" i="3" s="1"/>
  <c r="BJ150" i="3" s="1"/>
  <c r="BJ152" i="3" s="1"/>
  <c r="BJ168" i="3"/>
  <c r="BJ169" i="3" s="1"/>
  <c r="BK144" i="3"/>
  <c r="BK142" i="3"/>
  <c r="BK143" i="3" s="1"/>
  <c r="BL139" i="3"/>
  <c r="BL140" i="3"/>
  <c r="BM135" i="3"/>
  <c r="BI148" i="3"/>
  <c r="BI149" i="3"/>
  <c r="BI151" i="3" s="1"/>
  <c r="BI147" i="3"/>
  <c r="BI150" i="3" s="1"/>
  <c r="BJ191" i="3"/>
  <c r="BJ192" i="3" s="1"/>
  <c r="BK167" i="3"/>
  <c r="BK165" i="3"/>
  <c r="BK166" i="3" s="1"/>
  <c r="BL186" i="3"/>
  <c r="BL185" i="3"/>
  <c r="BM181" i="3"/>
  <c r="BI170" i="3"/>
  <c r="BI173" i="3" s="1"/>
  <c r="BI172" i="3"/>
  <c r="BI174" i="3" s="1"/>
  <c r="BI171" i="3"/>
  <c r="BL163" i="3"/>
  <c r="BL162" i="3"/>
  <c r="BM158" i="3"/>
  <c r="BK190" i="3"/>
  <c r="BK188" i="3"/>
  <c r="BK189" i="3" s="1"/>
  <c r="AL656" i="6" l="1"/>
  <c r="BI175" i="3"/>
  <c r="AL644" i="6"/>
  <c r="BI152" i="3"/>
  <c r="AL632" i="6"/>
  <c r="BJ149" i="3"/>
  <c r="BJ148" i="3"/>
  <c r="BJ170" i="3"/>
  <c r="BJ173" i="3" s="1"/>
  <c r="BJ172" i="3"/>
  <c r="BJ174" i="3" s="1"/>
  <c r="BJ171" i="3"/>
  <c r="BK191" i="3"/>
  <c r="BK192" i="3" s="1"/>
  <c r="BK193" i="3" s="1"/>
  <c r="BK196" i="3" s="1"/>
  <c r="BL144" i="3"/>
  <c r="BL142" i="3"/>
  <c r="BL143" i="3" s="1"/>
  <c r="BL165" i="3"/>
  <c r="BL166" i="3" s="1"/>
  <c r="BL167" i="3"/>
  <c r="BM185" i="3"/>
  <c r="BN181" i="3"/>
  <c r="BM186" i="3"/>
  <c r="BK168" i="3"/>
  <c r="BK169" i="3" s="1"/>
  <c r="BM162" i="3"/>
  <c r="BN158" i="3"/>
  <c r="BM163" i="3"/>
  <c r="BL188" i="3"/>
  <c r="BL189" i="3" s="1"/>
  <c r="BL190" i="3"/>
  <c r="BJ194" i="3"/>
  <c r="BJ193" i="3"/>
  <c r="BJ196" i="3" s="1"/>
  <c r="BJ195" i="3"/>
  <c r="BJ197" i="3" s="1"/>
  <c r="BN135" i="3"/>
  <c r="BM139" i="3"/>
  <c r="BM140" i="3"/>
  <c r="BK145" i="3"/>
  <c r="BK146" i="3" s="1"/>
  <c r="BJ175" i="3" l="1"/>
  <c r="AM644" i="6"/>
  <c r="BK198" i="3"/>
  <c r="BJ198" i="3"/>
  <c r="AM656" i="6"/>
  <c r="BJ151" i="3"/>
  <c r="AM632" i="6"/>
  <c r="BK195" i="3"/>
  <c r="BK197" i="3" s="1"/>
  <c r="BK194" i="3"/>
  <c r="BL145" i="3"/>
  <c r="BL146" i="3" s="1"/>
  <c r="BN140" i="3"/>
  <c r="BN139" i="3"/>
  <c r="BL191" i="3"/>
  <c r="BL192" i="3" s="1"/>
  <c r="BK170" i="3"/>
  <c r="BK173" i="3" s="1"/>
  <c r="BK171" i="3"/>
  <c r="BK172" i="3"/>
  <c r="BK174" i="3" s="1"/>
  <c r="BL168" i="3"/>
  <c r="BL169" i="3" s="1"/>
  <c r="BM190" i="3"/>
  <c r="BM188" i="3"/>
  <c r="BM189" i="3" s="1"/>
  <c r="BM144" i="3"/>
  <c r="BM142" i="3"/>
  <c r="BM143" i="3" s="1"/>
  <c r="BM165" i="3"/>
  <c r="BM166" i="3" s="1"/>
  <c r="BM167" i="3"/>
  <c r="BN186" i="3"/>
  <c r="BN185" i="3"/>
  <c r="BK147" i="3"/>
  <c r="BK150" i="3" s="1"/>
  <c r="BK148" i="3"/>
  <c r="BK149" i="3"/>
  <c r="BK151" i="3" s="1"/>
  <c r="BN162" i="3"/>
  <c r="BN163" i="3"/>
  <c r="AN656" i="6" l="1"/>
  <c r="BK152" i="3"/>
  <c r="AN632" i="6"/>
  <c r="BK175" i="3"/>
  <c r="AN644" i="6"/>
  <c r="BM145" i="3"/>
  <c r="BM146" i="3" s="1"/>
  <c r="BM191" i="3"/>
  <c r="BM192" i="3" s="1"/>
  <c r="BM194" i="3" s="1"/>
  <c r="BL147" i="3"/>
  <c r="BL150" i="3" s="1"/>
  <c r="BL149" i="3"/>
  <c r="BL151" i="3" s="1"/>
  <c r="BL148" i="3"/>
  <c r="BL172" i="3"/>
  <c r="BL174" i="3" s="1"/>
  <c r="BL170" i="3"/>
  <c r="BL173" i="3" s="1"/>
  <c r="BL171" i="3"/>
  <c r="BL193" i="3"/>
  <c r="BL196" i="3" s="1"/>
  <c r="BL194" i="3"/>
  <c r="BL195" i="3"/>
  <c r="BL197" i="3" s="1"/>
  <c r="BN167" i="3"/>
  <c r="BN165" i="3"/>
  <c r="BN166" i="3" s="1"/>
  <c r="BN188" i="3"/>
  <c r="BN189" i="3" s="1"/>
  <c r="BN190" i="3"/>
  <c r="BM168" i="3"/>
  <c r="BM169" i="3" s="1"/>
  <c r="BN144" i="3"/>
  <c r="BN142" i="3"/>
  <c r="BN143" i="3" s="1"/>
  <c r="BM193" i="3" l="1"/>
  <c r="BM196" i="3" s="1"/>
  <c r="BM198" i="3" s="1"/>
  <c r="BL175" i="3"/>
  <c r="AO644" i="6"/>
  <c r="BL152" i="3"/>
  <c r="AO632" i="6"/>
  <c r="BL198" i="3"/>
  <c r="AO656" i="6"/>
  <c r="BN191" i="3"/>
  <c r="BN192" i="3" s="1"/>
  <c r="BN193" i="3" s="1"/>
  <c r="BN196" i="3" s="1"/>
  <c r="BN145" i="3"/>
  <c r="BN146" i="3" s="1"/>
  <c r="BN148" i="3" s="1"/>
  <c r="BM195" i="3"/>
  <c r="BM197" i="3" s="1"/>
  <c r="BN168" i="3"/>
  <c r="BN169" i="3" s="1"/>
  <c r="BN170" i="3" s="1"/>
  <c r="BN173" i="3" s="1"/>
  <c r="BM149" i="3"/>
  <c r="BM151" i="3" s="1"/>
  <c r="BM147" i="3"/>
  <c r="BM150" i="3" s="1"/>
  <c r="BM148" i="3"/>
  <c r="BM171" i="3"/>
  <c r="BM170" i="3"/>
  <c r="BM173" i="3" s="1"/>
  <c r="BM172" i="3"/>
  <c r="BM174" i="3" s="1"/>
  <c r="BN195" i="3" l="1"/>
  <c r="BN197" i="3" s="1"/>
  <c r="BN194" i="3"/>
  <c r="BN175" i="3"/>
  <c r="BM175" i="3"/>
  <c r="AP644" i="6"/>
  <c r="BM152" i="3"/>
  <c r="AP632" i="6"/>
  <c r="AP656" i="6"/>
  <c r="BN198" i="3"/>
  <c r="BN147" i="3"/>
  <c r="BN150" i="3" s="1"/>
  <c r="BN149" i="3"/>
  <c r="BN151" i="3" s="1"/>
  <c r="BN171" i="3"/>
  <c r="BN172" i="3"/>
  <c r="BN174" i="3" s="1"/>
  <c r="AQ656" i="6" l="1"/>
  <c r="BN152" i="3"/>
  <c r="AQ632" i="6"/>
  <c r="AQ64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Carman, Jim (FAA)</author>
    <author>Mark Fox</author>
  </authors>
  <commentList>
    <comment ref="C19" authorId="0" shapeId="0" xr:uid="{00000000-0006-0000-0100-000001000000}">
      <text>
        <r>
          <rPr>
            <sz val="9"/>
            <color indexed="81"/>
            <rFont val="Tahoma"/>
            <family val="2"/>
          </rPr>
          <t>These boxes to remain blank unless entering helicopter data. 
Entered data will override "Design helicopter" displayed.</t>
        </r>
        <r>
          <rPr>
            <b/>
            <sz val="9"/>
            <color indexed="81"/>
            <rFont val="Tahoma"/>
            <family val="2"/>
          </rPr>
          <t xml:space="preserve"> </t>
        </r>
        <r>
          <rPr>
            <sz val="9"/>
            <color indexed="81"/>
            <rFont val="Tahoma"/>
            <family val="2"/>
          </rPr>
          <t xml:space="preserve">
</t>
        </r>
      </text>
    </comment>
    <comment ref="C35" authorId="1" shapeId="0" xr:uid="{00000000-0006-0000-0100-000002000000}">
      <text>
        <r>
          <rPr>
            <sz val="9"/>
            <color indexed="81"/>
            <rFont val="Tahoma"/>
            <family val="2"/>
          </rPr>
          <t>Leave this blank unless Google Earth does not load when you click the button - see instructions</t>
        </r>
      </text>
    </comment>
    <comment ref="R36" authorId="0" shapeId="0" xr:uid="{00000000-0006-0000-0100-000003000000}">
      <text>
        <r>
          <rPr>
            <sz val="9"/>
            <color indexed="81"/>
            <rFont val="Tahoma"/>
            <charset val="1"/>
          </rPr>
          <t>ENTER ACTUAL TLOF DIMENSION IF GREATER THAN FAA MINIMUM DIMENSION (CELL D56).</t>
        </r>
      </text>
    </comment>
    <comment ref="R37" authorId="0" shapeId="0" xr:uid="{00000000-0006-0000-0100-000004000000}">
      <text>
        <r>
          <rPr>
            <sz val="9"/>
            <color indexed="81"/>
            <rFont val="Tahoma"/>
            <family val="2"/>
          </rPr>
          <t xml:space="preserve">TLOF + (2X) minimum separation
</t>
        </r>
      </text>
    </comment>
    <comment ref="R40" authorId="0" shapeId="0" xr:uid="{00000000-0006-0000-0100-000005000000}">
      <text>
        <r>
          <rPr>
            <sz val="9"/>
            <color indexed="81"/>
            <rFont val="Tahoma"/>
            <charset val="1"/>
          </rPr>
          <t>FOR REVISED SAFETY AREA DIMENSION:
ENTER "REVISED MIN FATO DIMENSION" (CELL R37) 
 -OR- 
ACTUAL FATO DIMENSION IF GREATER  THAN "REVISED MIN FATO" DIMENSION (CELL R37)</t>
        </r>
      </text>
    </comment>
    <comment ref="R41" authorId="0" shapeId="0" xr:uid="{00000000-0006-0000-0100-000006000000}">
      <text>
        <r>
          <rPr>
            <sz val="9"/>
            <color indexed="81"/>
            <rFont val="Tahoma"/>
            <family val="2"/>
          </rPr>
          <t>FATO + (2X) minimum separation</t>
        </r>
      </text>
    </comment>
    <comment ref="D56" authorId="1" shapeId="0" xr:uid="{00000000-0006-0000-0100-000007000000}">
      <text>
        <r>
          <rPr>
            <b/>
            <i/>
            <sz val="9"/>
            <color indexed="81"/>
            <rFont val="Tahoma"/>
            <family val="2"/>
          </rPr>
          <t>GROUND BASED</t>
        </r>
        <r>
          <rPr>
            <sz val="9"/>
            <color indexed="81"/>
            <rFont val="Tahoma"/>
            <family val="2"/>
          </rPr>
          <t xml:space="preserve">
GA = 0.83 (D)
HOSPITAL = 0.83 (D) ≥ 40 feet.
TRANSPORT = 0.83 (D) ≥ 50 feet.
</t>
        </r>
        <r>
          <rPr>
            <b/>
            <i/>
            <sz val="9"/>
            <color indexed="81"/>
            <rFont val="Tahoma"/>
            <family val="2"/>
          </rPr>
          <t xml:space="preserve">
ELEVATED/ROOFTOP ***PPR***</t>
        </r>
        <r>
          <rPr>
            <sz val="9"/>
            <color indexed="81"/>
            <rFont val="Tahoma"/>
            <family val="2"/>
          </rPr>
          <t xml:space="preserve">
FATO </t>
        </r>
        <r>
          <rPr>
            <b/>
            <sz val="9"/>
            <color indexed="81"/>
            <rFont val="Tahoma"/>
            <family val="2"/>
          </rPr>
          <t>NON LOAD-BEARING</t>
        </r>
        <r>
          <rPr>
            <sz val="9"/>
            <color indexed="81"/>
            <rFont val="Tahoma"/>
            <family val="2"/>
          </rPr>
          <t xml:space="preserve">
PUBLIC GA = 1 (D)
HOSPITAL = 1(D) NO LESS THAN 40 FEET
TRANSPORT = TABLE 2-1
</t>
        </r>
        <r>
          <rPr>
            <b/>
            <i/>
            <sz val="9"/>
            <color indexed="81"/>
            <rFont val="Tahoma"/>
            <family val="2"/>
          </rPr>
          <t xml:space="preserve">ELEVATED /ROOFTOP *PPR*
</t>
        </r>
        <r>
          <rPr>
            <sz val="9"/>
            <color indexed="81"/>
            <rFont val="Tahoma"/>
            <family val="2"/>
          </rPr>
          <t xml:space="preserve">FATO </t>
        </r>
        <r>
          <rPr>
            <b/>
            <sz val="9"/>
            <color indexed="81"/>
            <rFont val="Tahoma"/>
            <family val="2"/>
          </rPr>
          <t>LOAD- BEARING</t>
        </r>
        <r>
          <rPr>
            <b/>
            <i/>
            <sz val="9"/>
            <color indexed="81"/>
            <rFont val="Tahoma"/>
            <family val="2"/>
          </rPr>
          <t xml:space="preserve">
</t>
        </r>
        <r>
          <rPr>
            <sz val="9"/>
            <color indexed="81"/>
            <rFont val="Tahoma"/>
            <family val="2"/>
          </rPr>
          <t>GA = 0.83 (D)
HOSPITAL = 0.83 (D) NO LESS THAN 40 FEET
TRANSPORT = 0.83 (D)
ALL PPR ELEVATED/ROOFTOP FACILITIES SEE PARA 2.7.2.1 (4) FOR TLOF SIZE OPTION.</t>
        </r>
        <r>
          <rPr>
            <sz val="9"/>
            <color indexed="81"/>
            <rFont val="Tahoma"/>
            <family val="2"/>
          </rPr>
          <t xml:space="preserve">
</t>
        </r>
      </text>
    </comment>
    <comment ref="D57" authorId="1" shapeId="0" xr:uid="{00000000-0006-0000-0100-000008000000}">
      <text>
        <r>
          <rPr>
            <sz val="9"/>
            <color indexed="81"/>
            <rFont val="Tahoma"/>
            <family val="2"/>
          </rPr>
          <t>0.34 (D)</t>
        </r>
      </text>
    </comment>
    <comment ref="D58" authorId="1" shapeId="0" xr:uid="{00000000-0006-0000-0100-000009000000}">
      <text>
        <r>
          <rPr>
            <sz val="9"/>
            <color indexed="81"/>
            <rFont val="Tahoma"/>
            <family val="2"/>
          </rPr>
          <t>GA = 1.50 (D)
HOSP = 1.50 (D)
TRANSPORT = 1.66 (D) NO LESS THAN 100 FEET</t>
        </r>
      </text>
    </comment>
    <comment ref="D59" authorId="1" shapeId="0" xr:uid="{00000000-0006-0000-0100-00000A000000}">
      <text>
        <r>
          <rPr>
            <sz val="9"/>
            <color indexed="81"/>
            <rFont val="Tahoma"/>
            <family val="2"/>
          </rPr>
          <t>GA - See table 2-4
HOSP - SEE TABLE 2-4
TRANSPORT - 0.42 (D)
NO LESS THAN 30 FEET</t>
        </r>
      </text>
    </comment>
    <comment ref="D60" authorId="1" shapeId="0" xr:uid="{00000000-0006-0000-0100-00000B000000}">
      <text>
        <r>
          <rPr>
            <sz val="9"/>
            <color indexed="81"/>
            <rFont val="Tahoma"/>
            <family val="2"/>
          </rPr>
          <t>FATO + minimum separation + minimum separation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E Fox</author>
    <author>Mark Fox</author>
  </authors>
  <commentList>
    <comment ref="F10" authorId="0" shapeId="0" xr:uid="{00000000-0006-0000-0200-000001000000}">
      <text>
        <r>
          <rPr>
            <sz val="9"/>
            <color indexed="81"/>
            <rFont val="Tahoma"/>
            <family val="2"/>
          </rPr>
          <t>Height above heliport elevation based on SD, INC, and 5 ft eye height</t>
        </r>
      </text>
    </comment>
    <comment ref="I10" authorId="0" shapeId="0" xr:uid="{00000000-0006-0000-0200-000002000000}">
      <text>
        <r>
          <rPr>
            <sz val="9"/>
            <color indexed="81"/>
            <rFont val="Tahoma"/>
            <family val="2"/>
          </rPr>
          <t>Enter height above heliport in ft (VD plus eye height)</t>
        </r>
      </text>
    </comment>
    <comment ref="Y10" authorId="1" shapeId="0" xr:uid="{00000000-0006-0000-0200-000003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 ref="AE10" authorId="1" shapeId="0" xr:uid="{00000000-0006-0000-0200-000004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 ref="AR10" authorId="1" shapeId="0" xr:uid="{00000000-0006-0000-0200-000005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 ref="AX10" authorId="1" shapeId="0" xr:uid="{00000000-0006-0000-0200-000006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 ref="BK10" authorId="1" shapeId="0" xr:uid="{00000000-0006-0000-0200-000007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 ref="BQ10" authorId="1" shapeId="0" xr:uid="{00000000-0006-0000-0200-000008000000}">
      <text>
        <r>
          <rPr>
            <sz val="8"/>
            <color indexed="81"/>
            <rFont val="Tahoma"/>
            <family val="2"/>
          </rPr>
          <t>Behind - obstacle is on the heliport side of the primary surface.
Beyond - obstacle is past the end of the 8:1 surface
Inside - distance from center falls between FATO edge and primary surface end</t>
        </r>
      </text>
    </comment>
  </commentList>
</comments>
</file>

<file path=xl/sharedStrings.xml><?xml version="1.0" encoding="utf-8"?>
<sst xmlns="http://schemas.openxmlformats.org/spreadsheetml/2006/main" count="2062" uniqueCount="958">
  <si>
    <t>Max Takeoff Weight</t>
  </si>
  <si>
    <t>Overall Length</t>
  </si>
  <si>
    <t>Overall Height</t>
  </si>
  <si>
    <t>Ground Clearance</t>
  </si>
  <si>
    <t>Main Rotor</t>
  </si>
  <si>
    <t>Tail Rotor Circle Radius</t>
  </si>
  <si>
    <t>Tail Rotor</t>
  </si>
  <si>
    <t>Diameter</t>
  </si>
  <si>
    <t>Type</t>
  </si>
  <si>
    <t>Length</t>
  </si>
  <si>
    <t>Width</t>
  </si>
  <si>
    <t>Crew Number</t>
  </si>
  <si>
    <t>Pax Number</t>
  </si>
  <si>
    <t>Undercarriage</t>
  </si>
  <si>
    <t>Number</t>
  </si>
  <si>
    <t>Engines</t>
  </si>
  <si>
    <t>Model</t>
  </si>
  <si>
    <t>Turbine</t>
  </si>
  <si>
    <t># of Blades</t>
  </si>
  <si>
    <t>Piston</t>
  </si>
  <si>
    <t>6\7</t>
  </si>
  <si>
    <t>1\2</t>
  </si>
  <si>
    <t>2\3</t>
  </si>
  <si>
    <t>16\17</t>
  </si>
  <si>
    <t>Fenstron</t>
  </si>
  <si>
    <t>n</t>
  </si>
  <si>
    <t>a</t>
  </si>
  <si>
    <t>n/a</t>
  </si>
  <si>
    <t>NOTAR</t>
  </si>
  <si>
    <t>Sikorsky-Schweizer CH-53K</t>
  </si>
  <si>
    <t>Sikorsky-Schweizer HU-269A/A-1/B, TH55A</t>
  </si>
  <si>
    <t>Sikorsky-Schweizer 300C</t>
  </si>
  <si>
    <t>Sikorsky-Schweizer 300CB/CBi</t>
  </si>
  <si>
    <t>Sikorsky-Schweizer 330/330SP/ 333</t>
  </si>
  <si>
    <t>Sikorsky-Schweizer S-434</t>
  </si>
  <si>
    <t>Sikorsky-Schweizer S-55/H19</t>
  </si>
  <si>
    <t>Sikorsky-Schweizer S-58/H34</t>
  </si>
  <si>
    <t>Sikorsky-Schweizer S-61/H-3</t>
  </si>
  <si>
    <t>Sikorsky-Schweizer S-76A/B/C/D</t>
  </si>
  <si>
    <t>Sikorsky-Schweizer S-92</t>
  </si>
  <si>
    <t>Sikorsky-Schweizer S-70i/UH-60L Blackhawk</t>
  </si>
  <si>
    <t>Fairchild-Rogerson-Hiller 360/UH-12/OH-23</t>
  </si>
  <si>
    <t>Fairchild-Rogerson-Hiller FH/RH-1100</t>
  </si>
  <si>
    <t>Agusta Westlund A-109A</t>
  </si>
  <si>
    <t>Agusta Westlund A-119 Koala</t>
  </si>
  <si>
    <t>Agusta Westlund AW-109E Power</t>
  </si>
  <si>
    <t>Agusta Westlund AW-109S Grand</t>
  </si>
  <si>
    <t>Agusta Westlund AW-119 Ke</t>
  </si>
  <si>
    <t>Agusta Westlund AW-139</t>
  </si>
  <si>
    <t>Agusta Westlund AW-101</t>
  </si>
  <si>
    <t>Agusta Westlund WG30</t>
  </si>
  <si>
    <t>Bell 47G</t>
  </si>
  <si>
    <t>Bell 205B, UH-1H, Huey II, 210</t>
  </si>
  <si>
    <t>Bell 206B-1,2,3</t>
  </si>
  <si>
    <t>Bell 206L-1,3,4</t>
  </si>
  <si>
    <t>Bell 212</t>
  </si>
  <si>
    <t>Bell 214ST</t>
  </si>
  <si>
    <t>Bell 222B, UT</t>
  </si>
  <si>
    <t>Bell 230</t>
  </si>
  <si>
    <t>Bell 407</t>
  </si>
  <si>
    <t>Bell 412EP, SP, HP</t>
  </si>
  <si>
    <t>Bell 427VFR</t>
  </si>
  <si>
    <t>Bell 429</t>
  </si>
  <si>
    <t>Bell 430</t>
  </si>
  <si>
    <t>Boeing 107/CH-46E</t>
  </si>
  <si>
    <t>Boeing 234/CH-47F/G</t>
  </si>
  <si>
    <t>Brantly/Hynes B-2B</t>
  </si>
  <si>
    <t>Brantly/Hynes 305</t>
  </si>
  <si>
    <t>Enstrom F-28F/ 280FX</t>
  </si>
  <si>
    <t>Enstrom 480B/ TH-28</t>
  </si>
  <si>
    <t>Eurocopter SA-315 Lama</t>
  </si>
  <si>
    <t>Eurocopter SA-316/319 Alouette</t>
  </si>
  <si>
    <t>Eurocopter SA-330 Puma</t>
  </si>
  <si>
    <t>Eurocopter SA/AS-332, Super Puma</t>
  </si>
  <si>
    <t>Eurocopter SA-341/342 Gazelle</t>
  </si>
  <si>
    <t>Eurocopter AS-350 A Star</t>
  </si>
  <si>
    <t>Eurocopter AS-355 Twin Star</t>
  </si>
  <si>
    <t>Eurocopter AS-360 Dauphin</t>
  </si>
  <si>
    <t>Eurocopter AS-365 Dauphin/H-65 Dolphin</t>
  </si>
  <si>
    <t>Eurocopter BO-105</t>
  </si>
  <si>
    <t>Eurocopter BK-117</t>
  </si>
  <si>
    <t>Eurocopter EC-120</t>
  </si>
  <si>
    <t>Eurocopter EC-130</t>
  </si>
  <si>
    <t>Eurocopter EC-135</t>
  </si>
  <si>
    <t>Eurocopter EC-145/ UH-72A</t>
  </si>
  <si>
    <t>Eurocopter EC-155</t>
  </si>
  <si>
    <t>Eurocopter EC-225</t>
  </si>
  <si>
    <t>Kaman K-Max/ K1200</t>
  </si>
  <si>
    <t>Kaman SH-2G Seasprite</t>
  </si>
  <si>
    <t>MD 500E</t>
  </si>
  <si>
    <t>MD 530F</t>
  </si>
  <si>
    <t>MD 520N</t>
  </si>
  <si>
    <t>MD 600N</t>
  </si>
  <si>
    <t>MD Explorer/ 902</t>
  </si>
  <si>
    <t>Robinson R-22 Beta</t>
  </si>
  <si>
    <t>Robinson R-44 Raven</t>
  </si>
  <si>
    <t>Robinson R-66 Turbine</t>
  </si>
  <si>
    <t>C</t>
  </si>
  <si>
    <t>D</t>
  </si>
  <si>
    <t>E</t>
  </si>
  <si>
    <t>F</t>
  </si>
  <si>
    <t>G</t>
  </si>
  <si>
    <t>H</t>
  </si>
  <si>
    <t>I</t>
  </si>
  <si>
    <t>J</t>
  </si>
  <si>
    <t>K</t>
  </si>
  <si>
    <t>L</t>
  </si>
  <si>
    <t>M</t>
  </si>
  <si>
    <t>N</t>
  </si>
  <si>
    <t>O</t>
  </si>
  <si>
    <t>P</t>
  </si>
  <si>
    <t>Q</t>
  </si>
  <si>
    <t>R</t>
  </si>
  <si>
    <t>U</t>
  </si>
  <si>
    <t>V</t>
  </si>
  <si>
    <t>X</t>
  </si>
  <si>
    <t>S</t>
  </si>
  <si>
    <t>T</t>
  </si>
  <si>
    <t>W</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</si>
  <si>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</si>
  <si>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</si>
  <si>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</si>
  <si>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</si>
  <si>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</si>
  <si>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</si>
  <si>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</si>
  <si>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</si>
  <si>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</si>
  <si>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</si>
  <si>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</si>
  <si>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</si>
  <si>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</si>
  <si>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</si>
  <si>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</si>
  <si>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</si>
  <si>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</si>
  <si>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</si>
  <si>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</si>
  <si>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</si>
  <si>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</si>
  <si>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</si>
  <si>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</si>
  <si>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</si>
  <si>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</si>
  <si>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</si>
  <si>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</si>
  <si>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</si>
  <si>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</si>
  <si>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</si>
  <si>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</si>
  <si>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</si>
  <si>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</si>
  <si>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</si>
  <si>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</si>
  <si>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</si>
  <si>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</si>
  <si>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</si>
  <si>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</si>
  <si>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</si>
  <si>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</si>
  <si>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</si>
  <si>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</si>
  <si>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</si>
  <si>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</si>
  <si>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</si>
  <si>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Elevation</t>
  </si>
  <si>
    <t>PPR?</t>
  </si>
  <si>
    <t>Standard H?</t>
  </si>
  <si>
    <t>Yes</t>
  </si>
  <si>
    <t>No</t>
  </si>
  <si>
    <t>Minimum TLOF Length/Width/Diameter</t>
  </si>
  <si>
    <t>Minimum FATO Length/Width/Diameter</t>
  </si>
  <si>
    <t>Minimum TLOF/FATO Separation</t>
  </si>
  <si>
    <t>Minimum Safety Area Length/Width/Diameter</t>
  </si>
  <si>
    <t>Minimum FATO/Safety Area Separation</t>
  </si>
  <si>
    <t>Total Area Required (square ft)</t>
  </si>
  <si>
    <t>Circle</t>
  </si>
  <si>
    <t>Square</t>
  </si>
  <si>
    <t>Hospital</t>
  </si>
  <si>
    <t>General Aviation</t>
  </si>
  <si>
    <t>Transport</t>
  </si>
  <si>
    <t>Heliport Type?</t>
  </si>
  <si>
    <t>Safety Area</t>
  </si>
  <si>
    <t>TLOF</t>
  </si>
  <si>
    <t>FATO</t>
  </si>
  <si>
    <t>TLOF and H</t>
  </si>
  <si>
    <t>TLOF no H</t>
  </si>
  <si>
    <t>H and FATO</t>
  </si>
  <si>
    <t>FATO Only</t>
  </si>
  <si>
    <t>TLOF Perimeter Marked?</t>
  </si>
  <si>
    <t>FATO Perimeter Marked?</t>
  </si>
  <si>
    <t>Safety Area - Hospital and PPR</t>
  </si>
  <si>
    <t>SA</t>
  </si>
  <si>
    <t>Wheel</t>
  </si>
  <si>
    <t>Skid</t>
  </si>
  <si>
    <t>Wheel/Skid</t>
  </si>
  <si>
    <t>Weight</t>
  </si>
  <si>
    <t>RD</t>
  </si>
  <si>
    <t>Design Helicopter?</t>
  </si>
  <si>
    <t>Size / Weight Limit "Box"</t>
  </si>
  <si>
    <t>Heliport Alignment (True)</t>
  </si>
  <si>
    <t>Outbound Course 1 (True)</t>
  </si>
  <si>
    <t>Outbound Course 2 (True)</t>
  </si>
  <si>
    <t>Outbound Course 3 (True)</t>
  </si>
  <si>
    <t>&lt;?xml version="1.0" encoding="UTF-8"?&gt;</t>
  </si>
  <si>
    <t>&lt;kml xmlns="http://www.opengis.net/kml/2.2" xmlns:gx="http://www.google.com/kml/ext/2.2" xmlns:kml="http://www.opengis.net/kml/2.2" xmlns:atom="http://www.w3.org/2005/Atom"&gt;</t>
  </si>
  <si>
    <t>&lt;Document&gt;</t>
  </si>
  <si>
    <t>&lt;Style id="sh_ylw-pushpin"&gt;</t>
  </si>
  <si>
    <t>&lt;IconStyle&gt;</t>
  </si>
  <si>
    <t>&lt;scale&gt;1.3&lt;/scale&gt;</t>
  </si>
  <si>
    <t>&lt;Icon&gt;</t>
  </si>
  <si>
    <t>&lt;href&gt;http://maps.google.com/mapfiles/kml/pushpin/ylw-pushpin.png&lt;/href&gt;</t>
  </si>
  <si>
    <t>&lt;/Icon&gt;</t>
  </si>
  <si>
    <t>&lt;hotSpot x="20" y="2" xunits="pixels" yunits="pixels"/&gt;</t>
  </si>
  <si>
    <t>&lt;/IconStyle&gt;</t>
  </si>
  <si>
    <t>&lt;LineStyle&gt;</t>
  </si>
  <si>
    <t>&lt;color&gt;ff00ffff&lt;/color&gt;</t>
  </si>
  <si>
    <t>&lt;/LineStyle&gt;</t>
  </si>
  <si>
    <t>&lt;PolyStyle&gt;</t>
  </si>
  <si>
    <t>&lt;color&gt;b200ffff&lt;/color&gt;</t>
  </si>
  <si>
    <t>&lt;/PolyStyle&gt;</t>
  </si>
  <si>
    <t>&lt;/Style&gt;</t>
  </si>
  <si>
    <t>&lt;StyleMap id="msn_ylw-pushpin"&gt;</t>
  </si>
  <si>
    <t>&lt;Pair&gt;</t>
  </si>
  <si>
    <t>&lt;key&gt;normal&lt;/key&gt;</t>
  </si>
  <si>
    <t>&lt;styleUrl&gt;#sn_ylw-pushpin1&lt;/styleUrl&gt;</t>
  </si>
  <si>
    <t>&lt;/Pair&gt;</t>
  </si>
  <si>
    <t>&lt;key&gt;highlight&lt;/key&gt;</t>
  </si>
  <si>
    <t>&lt;styleUrl&gt;#sh_ylw-pushpin0&lt;/styleUrl&gt;</t>
  </si>
  <si>
    <t>&lt;/StyleMap&gt;</t>
  </si>
  <si>
    <t>&lt;scale&gt;1.1&lt;/scale&gt;</t>
  </si>
  <si>
    <t>&lt;ListStyle&gt;</t>
  </si>
  <si>
    <t>&lt;/ListStyle&gt;</t>
  </si>
  <si>
    <t>&lt;Style id="sn_ylw-pushpin"&gt;</t>
  </si>
  <si>
    <t>&lt;StyleMap id="msn_ylw-pushpin0"&gt;</t>
  </si>
  <si>
    <t>&lt;styleUrl&gt;#sn_ylw-pushpin0&lt;/styleUrl&gt;</t>
  </si>
  <si>
    <t>&lt;styleUrl&gt;#sh_ylw-pushpin1&lt;/styleUrl&gt;</t>
  </si>
  <si>
    <t>&lt;Style id="sh_ylw-pushpin0"&gt;</t>
  </si>
  <si>
    <t>&lt;Style id="sn_ylw-pushpin0"&gt;</t>
  </si>
  <si>
    <t>&lt;color&gt;ff00ff00&lt;/color&gt;</t>
  </si>
  <si>
    <t>&lt;color&gt;b200ff00&lt;/color&gt;</t>
  </si>
  <si>
    <t>&lt;Style id="sn_ylw-pushpin1"&gt;</t>
  </si>
  <si>
    <t>&lt;StyleMap id="msn_ylw-pushpin1"&gt;</t>
  </si>
  <si>
    <t>&lt;styleUrl&gt;#sn_ylw-pushpin&lt;/styleUrl&gt;</t>
  </si>
  <si>
    <t>&lt;styleUrl&gt;#sh_ylw-pushpin&lt;/styleUrl&gt;</t>
  </si>
  <si>
    <t>&lt;Style id="sh_ylw-pushpin1"&gt;</t>
  </si>
  <si>
    <t>&lt;Folder&gt;</t>
  </si>
  <si>
    <t>&lt;open&gt;1&lt;/open&gt;</t>
  </si>
  <si>
    <t>&lt;Placemark&gt;</t>
  </si>
  <si>
    <t>&lt;Polygon&gt;</t>
  </si>
  <si>
    <t>&lt;extrude&gt;1&lt;/extrude&gt;</t>
  </si>
  <si>
    <t>&lt;tessellate&gt;1&lt;/tessellate&gt;</t>
  </si>
  <si>
    <t>&lt;altitudeMode&gt;absolute&lt;/altitudeMode&gt;</t>
  </si>
  <si>
    <t>&lt;outerBoundaryIs&gt;</t>
  </si>
  <si>
    <t>&lt;LinearRing&gt;</t>
  </si>
  <si>
    <t>&lt;/LinearRing&gt;</t>
  </si>
  <si>
    <t>&lt;/outerBoundaryIs&gt;</t>
  </si>
  <si>
    <t>&lt;/Polygon&gt;</t>
  </si>
  <si>
    <t>&lt;/Placemark&gt;</t>
  </si>
  <si>
    <t>&lt;styleUrl&gt;#msn_ylw-pushpin1&lt;/styleUrl&gt;</t>
  </si>
  <si>
    <t>&lt;/Folder&gt;</t>
  </si>
  <si>
    <t>&lt;/Document&gt;</t>
  </si>
  <si>
    <t>&lt;/kml&gt;</t>
  </si>
  <si>
    <t>FATO Edge Center</t>
  </si>
  <si>
    <t>Long DD</t>
  </si>
  <si>
    <t>Long DMS</t>
  </si>
  <si>
    <t>Lat DD</t>
  </si>
  <si>
    <t>Lat DMS</t>
  </si>
  <si>
    <t>ft</t>
  </si>
  <si>
    <t>m</t>
  </si>
  <si>
    <t>FATO Edge Right</t>
  </si>
  <si>
    <t>FATO Edge Left</t>
  </si>
  <si>
    <t>4000 ft Right</t>
  </si>
  <si>
    <t>4000 ft Left</t>
  </si>
  <si>
    <t>Transition R Front Outer</t>
  </si>
  <si>
    <t>Transition R Back Outer</t>
  </si>
  <si>
    <t>Transition R Back Inner</t>
  </si>
  <si>
    <t>Transition L Front Outer</t>
  </si>
  <si>
    <t>Transition L Back Outer</t>
  </si>
  <si>
    <t>Transition L Back Inner</t>
  </si>
  <si>
    <t>2000 ft Primary Center</t>
  </si>
  <si>
    <t>2000 ft Primary Right</t>
  </si>
  <si>
    <t>2000 ft Primary Left</t>
  </si>
  <si>
    <t>Lateral Extension Right</t>
  </si>
  <si>
    <t>Lat</t>
  </si>
  <si>
    <t>Primary</t>
  </si>
  <si>
    <t>FATO L</t>
  </si>
  <si>
    <t>Distance</t>
  </si>
  <si>
    <t>L90</t>
  </si>
  <si>
    <t>Long</t>
  </si>
  <si>
    <t>FATO R</t>
  </si>
  <si>
    <t>R90</t>
  </si>
  <si>
    <t>4000 L</t>
  </si>
  <si>
    <t>4000 R</t>
  </si>
  <si>
    <t>Bearing</t>
  </si>
  <si>
    <t>F L B</t>
  </si>
  <si>
    <t>T L B</t>
  </si>
  <si>
    <t>Trans L</t>
  </si>
  <si>
    <t xml:space="preserve">F R B </t>
  </si>
  <si>
    <t>T R B</t>
  </si>
  <si>
    <t>Trans R</t>
  </si>
  <si>
    <t>Lat L</t>
  </si>
  <si>
    <t>2000 L</t>
  </si>
  <si>
    <t>Lat R</t>
  </si>
  <si>
    <t>Final Lat DD</t>
  </si>
  <si>
    <t>2000 R</t>
  </si>
  <si>
    <t>Final Long DD</t>
  </si>
  <si>
    <t>Final Lat DMS</t>
  </si>
  <si>
    <t>Final Long DMS</t>
  </si>
  <si>
    <t>Headings</t>
  </si>
  <si>
    <t>Front</t>
  </si>
  <si>
    <t>Back</t>
  </si>
  <si>
    <t>Course 1</t>
  </si>
  <si>
    <t>MSL (m)</t>
  </si>
  <si>
    <t>FC Edge</t>
  </si>
  <si>
    <t>BC Edge</t>
  </si>
  <si>
    <t>Corner 1</t>
  </si>
  <si>
    <t>Corner 2</t>
  </si>
  <si>
    <t>Corner 3</t>
  </si>
  <si>
    <t>Corner 4</t>
  </si>
  <si>
    <t>Safety</t>
  </si>
  <si>
    <t>Area</t>
  </si>
  <si>
    <t>Outbound</t>
  </si>
  <si>
    <t>Course 2</t>
  </si>
  <si>
    <t>Course 3</t>
  </si>
  <si>
    <t>4000 ft</t>
  </si>
  <si>
    <t>Center</t>
  </si>
  <si>
    <t>Direct Calculations</t>
  </si>
  <si>
    <t>TLOF FC Edge</t>
  </si>
  <si>
    <t>TLOF BC Edge</t>
  </si>
  <si>
    <t>TLOF FC Corner L90</t>
  </si>
  <si>
    <t>TLOF FC Corner R90</t>
  </si>
  <si>
    <t>TLOF BC Corner R90</t>
  </si>
  <si>
    <t>TLOF BC Corner L90</t>
  </si>
  <si>
    <t>FATO FC Edge</t>
  </si>
  <si>
    <t>FATO BC Edge</t>
  </si>
  <si>
    <t>FATO FC Corner L90</t>
  </si>
  <si>
    <t>FATO FC Corner R90</t>
  </si>
  <si>
    <t>FATO BC Corner R90</t>
  </si>
  <si>
    <t>FATO BC Corner L90</t>
  </si>
  <si>
    <t>Safety Area FC Edge</t>
  </si>
  <si>
    <t>Safety Area BC Edge</t>
  </si>
  <si>
    <t>Safety Area FC Corner L90</t>
  </si>
  <si>
    <t>Safety Area FC Corner R90</t>
  </si>
  <si>
    <t>Safety Area BC Corner R90</t>
  </si>
  <si>
    <t>Safety Area BC Corner L90</t>
  </si>
  <si>
    <t>Outbound 1 4000 ft Center</t>
  </si>
  <si>
    <t>&lt;StyleMap id="msn_ylw-pushpin101"&gt;</t>
  </si>
  <si>
    <t>&lt;styleUrl&gt;#sn_ylw-pushpin100&lt;/styleUrl&gt;</t>
  </si>
  <si>
    <t>&lt;styleUrl&gt;#sh_ylw-pushpin000&lt;/styleUrl&gt;</t>
  </si>
  <si>
    <t>&lt;Style id="sn_ylw-pushpin100"&gt;</t>
  </si>
  <si>
    <t>&lt;Style id="sh_ylw-pushpin110"&gt;</t>
  </si>
  <si>
    <t>&lt;Style id="sh_flag"&gt;</t>
  </si>
  <si>
    <t>&lt;scale&gt;1.4&lt;/scale&gt;</t>
  </si>
  <si>
    <t>&lt;href&gt;http://maps.google.com/mapfiles/kml/shapes/flag.png&lt;/href&gt;</t>
  </si>
  <si>
    <t>&lt;hotSpot x="0.5" y="0" xunits="fraction" yunits="fraction"/&gt;</t>
  </si>
  <si>
    <t>&lt;Style id="sn_ylw-pushpin11"&gt;</t>
  </si>
  <si>
    <t>&lt;Style id="sh_ylw-pushpin40"&gt;</t>
  </si>
  <si>
    <t>&lt;Style id="sn_ylw-pushpin2"&gt;</t>
  </si>
  <si>
    <t>&lt;Style id="sh_ylw-pushpin000"&gt;</t>
  </si>
  <si>
    <t>&lt;Style id="sh_ylw-pushpin20"&gt;</t>
  </si>
  <si>
    <t>&lt;Style id="sn_flag"&gt;</t>
  </si>
  <si>
    <t>&lt;scale&gt;1.2&lt;/scale&gt;</t>
  </si>
  <si>
    <t>&lt;color&gt;ff0000aa&lt;/color&gt;</t>
  </si>
  <si>
    <t>&lt;Style id="sn_heliport"&gt;</t>
  </si>
  <si>
    <t>&lt;href&gt;http://maps.google.com/mapfiles/kml/shapes/heliport.png&lt;/href&gt;</t>
  </si>
  <si>
    <t>&lt;StyleMap id="msn_ylw-pushpin200"&gt;</t>
  </si>
  <si>
    <t>&lt;styleUrl&gt;#sn_ylw-pushpin20&lt;/styleUrl&gt;</t>
  </si>
  <si>
    <t>&lt;styleUrl&gt;#sh_ylw-pushpin3&lt;/styleUrl&gt;</t>
  </si>
  <si>
    <t>&lt;styleUrl&gt;#sh_ylw-pushpin2&lt;/styleUrl&gt;</t>
  </si>
  <si>
    <t>&lt;Style id="sn_ylw-pushpin010"&gt;</t>
  </si>
  <si>
    <t>&lt;color&gt;ffff5500&lt;/color&gt;</t>
  </si>
  <si>
    <t>&lt;color&gt;b2ff5500&lt;/color&gt;</t>
  </si>
  <si>
    <t>&lt;Style id="sh_ylw-pushpin3"&gt;</t>
  </si>
  <si>
    <t>&lt;color&gt;cc00ffff&lt;/color&gt;</t>
  </si>
  <si>
    <t>&lt;Style id="sn_ylw-pushpin00"&gt;</t>
  </si>
  <si>
    <t>&lt;StyleMap id="msn_flag"&gt;</t>
  </si>
  <si>
    <t>&lt;styleUrl&gt;#sn_flag&lt;/styleUrl&gt;</t>
  </si>
  <si>
    <t>&lt;styleUrl&gt;#sh_flag&lt;/styleUrl&gt;</t>
  </si>
  <si>
    <t>&lt;Style id="sn_ylw-pushpin31"&gt;</t>
  </si>
  <si>
    <t>&lt;color&gt;ff00aaff&lt;/color&gt;</t>
  </si>
  <si>
    <t>&lt;StyleMap id="msn_ylw-pushpin30"&gt;</t>
  </si>
  <si>
    <t>&lt;styleUrl&gt;#sn_ylw-pushpin101&lt;/styleUrl&gt;</t>
  </si>
  <si>
    <t>&lt;styleUrl&gt;#sh_ylw-pushpin00&lt;/styleUrl&gt;</t>
  </si>
  <si>
    <t>&lt;StyleMap id="msn_heliport"&gt;</t>
  </si>
  <si>
    <t>&lt;styleUrl&gt;#sn_heliport&lt;/styleUrl&gt;</t>
  </si>
  <si>
    <t>&lt;styleUrl&gt;#sh_heliport&lt;/styleUrl&gt;</t>
  </si>
  <si>
    <t>&lt;StyleMap id="msn_ylw-pushpin00"&gt;</t>
  </si>
  <si>
    <t>&lt;styleUrl&gt;#sn_ylw-pushpin010&lt;/styleUrl&gt;</t>
  </si>
  <si>
    <t>&lt;styleUrl&gt;#sh_ylw-pushpin100&lt;/styleUrl&gt;</t>
  </si>
  <si>
    <t>&lt;Style id="sh_ylw-pushpin00"&gt;</t>
  </si>
  <si>
    <t>&lt;StyleMap id="msn_ylw-pushpin01"&gt;</t>
  </si>
  <si>
    <t>&lt;styleUrl&gt;#sn_ylw-pushpin00&lt;/styleUrl&gt;</t>
  </si>
  <si>
    <t>&lt;styleUrl&gt;#sh_ylw-pushpin110&lt;/styleUrl&gt;</t>
  </si>
  <si>
    <t>&lt;StyleMap id="msn_ylw-pushpin100"&gt;</t>
  </si>
  <si>
    <t>&lt;styleUrl&gt;#sn_ylw-pushpin2&lt;/styleUrl&gt;</t>
  </si>
  <si>
    <t>&lt;styleUrl&gt;#sh_ylw-pushpin40&lt;/styleUrl&gt;</t>
  </si>
  <si>
    <t>&lt;StyleMap id="msn_ylw-pushpin110"&gt;</t>
  </si>
  <si>
    <t>&lt;styleUrl&gt;#sn_ylw-pushpin11&lt;/styleUrl&gt;</t>
  </si>
  <si>
    <t>&lt;styleUrl&gt;#sh_ylw-pushpin200&lt;/styleUrl&gt;</t>
  </si>
  <si>
    <t>&lt;Style id="sn_ylw-pushpin101"&gt;</t>
  </si>
  <si>
    <t>&lt;StyleMap id="msn_ylw-pushpin2"&gt;</t>
  </si>
  <si>
    <t>&lt;Style id="sh_ylw-pushpin2"&gt;</t>
  </si>
  <si>
    <t>&lt;Style id="sh_heliport"&gt;</t>
  </si>
  <si>
    <t>&lt;Style id="sh_ylw-pushpin100"&gt;</t>
  </si>
  <si>
    <t>&lt;StyleMap id="msn_ylw-pushpin000"&gt;</t>
  </si>
  <si>
    <t>&lt;Style id="sn_ylw-pushpin3"&gt;</t>
  </si>
  <si>
    <t>&lt;StyleMap id="msn_ylw-pushpin3"&gt;</t>
  </si>
  <si>
    <t>&lt;styleUrl&gt;#sn_ylw-pushpin3&lt;/styleUrl&gt;</t>
  </si>
  <si>
    <t>&lt;Style id="sn_ylw-pushpin20"&gt;</t>
  </si>
  <si>
    <t>&lt;StyleMap id="msn_ylw-pushpin12"&gt;</t>
  </si>
  <si>
    <t>&lt;styleUrl&gt;#sn_ylw-pushpin31&lt;/styleUrl&gt;</t>
  </si>
  <si>
    <t>&lt;styleUrl&gt;#sh_ylw-pushpin20&lt;/styleUrl&gt;</t>
  </si>
  <si>
    <t>&lt;Style id="sh_ylw-pushpin200"&gt;</t>
  </si>
  <si>
    <t>&lt;name&gt;HRP&lt;/name&gt;</t>
  </si>
  <si>
    <t>&lt;styleUrl&gt;#msn_heliport&lt;/styleUrl&gt;</t>
  </si>
  <si>
    <t>&lt;Point&gt;</t>
  </si>
  <si>
    <t>&lt;/Point&gt;</t>
  </si>
  <si>
    <t>&lt;name&gt;TLOF&lt;/name&gt;</t>
  </si>
  <si>
    <t>&lt;name&gt;FATO&lt;/name&gt;</t>
  </si>
  <si>
    <t>&lt;styleUrl&gt;#msn_ylw-pushpin3&lt;/styleUrl&gt;</t>
  </si>
  <si>
    <t>&lt;name&gt;Safety Area&lt;/name&gt;</t>
  </si>
  <si>
    <t>&lt;styleUrl&gt;#msn_ylw-pushpin2&lt;/styleUrl&gt;</t>
  </si>
  <si>
    <t>&lt;name&gt;Obstacles&lt;/name&gt;</t>
  </si>
  <si>
    <t>&lt;name&gt;8:1 Surfaces&lt;/name&gt;</t>
  </si>
  <si>
    <t>&lt;visibility&gt;0&lt;/visibility&gt;</t>
  </si>
  <si>
    <t>&lt;name&gt;8:1 Circle&lt;/name&gt;</t>
  </si>
  <si>
    <t>&lt;name&gt;8:1 Circle 000-030&lt;/name&gt;</t>
  </si>
  <si>
    <t>&lt;styleUrl&gt;#msn_ylw-pushpin200&lt;/styleUrl&gt;</t>
  </si>
  <si>
    <t>&lt;name&gt;8:1 Circle 030-060&lt;/name&gt;</t>
  </si>
  <si>
    <t>&lt;name&gt;8:1 Circle 060-090&lt;/name&gt;</t>
  </si>
  <si>
    <t>&lt;name&gt;8:1 Circle 090-120&lt;/name&gt;</t>
  </si>
  <si>
    <t>&lt;name&gt;8:1 Circle 120-150&lt;/name&gt;</t>
  </si>
  <si>
    <t>&lt;name&gt;8:1 Circle 150-180&lt;/name&gt;</t>
  </si>
  <si>
    <t>&lt;name&gt;8:1 Circle 210-240&lt;/name&gt;</t>
  </si>
  <si>
    <t>&lt;name&gt;8:1 Circle 240-270&lt;/name&gt;</t>
  </si>
  <si>
    <t>&lt;name&gt;8:1 Circle 270-300&lt;/name&gt;</t>
  </si>
  <si>
    <t>&lt;name&gt;8:1 Circle 300-330&lt;/name&gt;</t>
  </si>
  <si>
    <t>&lt;name&gt;8:1 Circle 330-000&lt;/name&gt;</t>
  </si>
  <si>
    <t>Lateral Extension Left</t>
  </si>
  <si>
    <t>Angle</t>
  </si>
  <si>
    <t>Pri W 2000</t>
  </si>
  <si>
    <t>TLOF Center</t>
  </si>
  <si>
    <t>Outbound 2 4000 ft Center</t>
  </si>
  <si>
    <t>Outbound 3 4000 ft Center</t>
  </si>
  <si>
    <t>Trans Left</t>
  </si>
  <si>
    <t>Trans Right</t>
  </si>
  <si>
    <t>d24=j14</t>
  </si>
  <si>
    <t>d23=k14</t>
  </si>
  <si>
    <t>Circle 4000 North</t>
  </si>
  <si>
    <t>Circle FATO North</t>
  </si>
  <si>
    <t>&lt;name&gt;8:1 Circle 180-210&lt;/name&gt;</t>
  </si>
  <si>
    <t>This calculator is for informational purposes only. For the most accurate, up to date information, refer to</t>
  </si>
  <si>
    <t>AC 150/5390-2, current ed.</t>
  </si>
  <si>
    <t>Obstacle Data</t>
  </si>
  <si>
    <t>Name</t>
  </si>
  <si>
    <t>Height (m)</t>
  </si>
  <si>
    <t>1 Offset</t>
  </si>
  <si>
    <t>1 ATD</t>
  </si>
  <si>
    <t>Pri Width</t>
  </si>
  <si>
    <t>Lat Width</t>
  </si>
  <si>
    <t>Pri Alt</t>
  </si>
  <si>
    <t>Tangent Calcs</t>
  </si>
  <si>
    <t>PT 1 LAT</t>
  </si>
  <si>
    <t>PT 2 LON</t>
  </si>
  <si>
    <t>BRG</t>
  </si>
  <si>
    <t>PT 2 LAT</t>
  </si>
  <si>
    <t>STO 1 &amp; 20</t>
  </si>
  <si>
    <t>STO 3 &amp; 21</t>
  </si>
  <si>
    <t>STO 9 &amp; 22</t>
  </si>
  <si>
    <t>STO 23</t>
  </si>
  <si>
    <t>ST0 1</t>
  </si>
  <si>
    <t>STO 3</t>
  </si>
  <si>
    <t>STO 6</t>
  </si>
  <si>
    <t>sto 4</t>
  </si>
  <si>
    <t>sto 5</t>
  </si>
  <si>
    <t>sto 7</t>
  </si>
  <si>
    <t>sto 2</t>
  </si>
  <si>
    <t>STO 5</t>
  </si>
  <si>
    <t>STO 4</t>
  </si>
  <si>
    <t>STO 1</t>
  </si>
  <si>
    <t>CARD 2 STO 1</t>
  </si>
  <si>
    <t>STO 9</t>
  </si>
  <si>
    <t>STO 4 NM #1</t>
  </si>
  <si>
    <t>FT #1</t>
  </si>
  <si>
    <t>STO 2</t>
  </si>
  <si>
    <t>STO +3</t>
  </si>
  <si>
    <t>ST0 4</t>
  </si>
  <si>
    <t>STO 7</t>
  </si>
  <si>
    <t>STO +1</t>
  </si>
  <si>
    <t>STO-02</t>
  </si>
  <si>
    <t>STO 20</t>
  </si>
  <si>
    <t>TAN LATITUDE</t>
  </si>
  <si>
    <t>STO 21</t>
  </si>
  <si>
    <t>TAN LONGITUDE</t>
  </si>
  <si>
    <t>PT 1 LAT STO 1</t>
  </si>
  <si>
    <t>PT 1 LON STO 3</t>
  </si>
  <si>
    <t>STO *03</t>
  </si>
  <si>
    <t>STO 3 FC BRG</t>
  </si>
  <si>
    <t>STO 5 BC BRG</t>
  </si>
  <si>
    <t>NM</t>
  </si>
  <si>
    <t>FT</t>
  </si>
  <si>
    <t>Point</t>
  </si>
  <si>
    <t>Mag Bearing</t>
  </si>
  <si>
    <t>Obstacle 1</t>
  </si>
  <si>
    <t>Slant Dist. (SD)</t>
  </si>
  <si>
    <t>Elev. Angle (INC)</t>
  </si>
  <si>
    <t>Heliport Data</t>
  </si>
  <si>
    <t>Latitude</t>
  </si>
  <si>
    <t>Longitude</t>
  </si>
  <si>
    <t>Mag Variation</t>
  </si>
  <si>
    <t>Obstacle 2</t>
  </si>
  <si>
    <t>Obstacle 3</t>
  </si>
  <si>
    <t>Obstacle 4</t>
  </si>
  <si>
    <t>Obstacle 5</t>
  </si>
  <si>
    <t>Obstacle 6</t>
  </si>
  <si>
    <t>Obstacle 7</t>
  </si>
  <si>
    <t>Obstacle 8</t>
  </si>
  <si>
    <t>Obstacle 9</t>
  </si>
  <si>
    <t>Obstacle 10</t>
  </si>
  <si>
    <t>Obstacle 11</t>
  </si>
  <si>
    <t>Obstacle 12</t>
  </si>
  <si>
    <t>Obstacle 13</t>
  </si>
  <si>
    <t>Obstacle 14</t>
  </si>
  <si>
    <t>Obstacle 15</t>
  </si>
  <si>
    <t>Obstacle 16</t>
  </si>
  <si>
    <t>Obstacle 17</t>
  </si>
  <si>
    <t>Obstacle 18</t>
  </si>
  <si>
    <t>Obstacle 19</t>
  </si>
  <si>
    <t>Obstacle 20</t>
  </si>
  <si>
    <t>Obstacle 21</t>
  </si>
  <si>
    <t>Obstacle 22</t>
  </si>
  <si>
    <t>Obstacle 23</t>
  </si>
  <si>
    <t>Obstacle 24</t>
  </si>
  <si>
    <t>Obstacle 25</t>
  </si>
  <si>
    <t>Obstacle 26</t>
  </si>
  <si>
    <t>Obstacle 27</t>
  </si>
  <si>
    <t>Obstacle 28</t>
  </si>
  <si>
    <t>Obstacle 29</t>
  </si>
  <si>
    <t>Obstacle 30</t>
  </si>
  <si>
    <t>Obstacle 31</t>
  </si>
  <si>
    <t>Obstacle 32</t>
  </si>
  <si>
    <t>Obstacle 33</t>
  </si>
  <si>
    <t>Obstacle 34</t>
  </si>
  <si>
    <t>Obstacle 35</t>
  </si>
  <si>
    <t>Obstacle 36</t>
  </si>
  <si>
    <t>Obstacle 37</t>
  </si>
  <si>
    <t>Obstacle 38</t>
  </si>
  <si>
    <t>Obstacle 39</t>
  </si>
  <si>
    <t>Obstacle 40</t>
  </si>
  <si>
    <t>Obstacle 41</t>
  </si>
  <si>
    <t>Obstacle 42</t>
  </si>
  <si>
    <t>Obstacle 43</t>
  </si>
  <si>
    <t>Obstacle 44</t>
  </si>
  <si>
    <t>Obstacle 45</t>
  </si>
  <si>
    <t>Obstacle 46</t>
  </si>
  <si>
    <t>Obstacle 47</t>
  </si>
  <si>
    <t>Obstacle 48</t>
  </si>
  <si>
    <t>Obstacle 49</t>
  </si>
  <si>
    <t>Obstacle 50</t>
  </si>
  <si>
    <t>Outbound 1</t>
  </si>
  <si>
    <t>Outbound 2</t>
  </si>
  <si>
    <t>Outbound 3</t>
  </si>
  <si>
    <t>True Course</t>
  </si>
  <si>
    <t>Course 1 Obstacle 1</t>
  </si>
  <si>
    <t>Course 1 Obstacle 2</t>
  </si>
  <si>
    <t>Course 1 Obstacle 3</t>
  </si>
  <si>
    <t>Course 1 Obstacle 4</t>
  </si>
  <si>
    <t>Course 1 Obstacle 5</t>
  </si>
  <si>
    <t>Course 1 Obstacle 6</t>
  </si>
  <si>
    <t>Course 1 Obstacle 7</t>
  </si>
  <si>
    <t>Course 1 Obstacle 8</t>
  </si>
  <si>
    <t>Course 1 Obstacle 9</t>
  </si>
  <si>
    <t>Course 1 Obstacle 10</t>
  </si>
  <si>
    <t>Course 1 Obstacle 11</t>
  </si>
  <si>
    <t>Course 1 Obstacle 12</t>
  </si>
  <si>
    <t>Course 1 Obstacle 13</t>
  </si>
  <si>
    <t>Course 1 Obstacle 14</t>
  </si>
  <si>
    <t>Course 1 Obstacle 15</t>
  </si>
  <si>
    <t>Course 1 Obstacle 16</t>
  </si>
  <si>
    <t>Course 1 Obstacle 17</t>
  </si>
  <si>
    <t>Course 1 Obstacle 18</t>
  </si>
  <si>
    <t>Course 1 Obstacle 19</t>
  </si>
  <si>
    <t>Course 1 Obstacle 20</t>
  </si>
  <si>
    <t>Course 1 Obstacle 21</t>
  </si>
  <si>
    <t>Course 1 Obstacle 22</t>
  </si>
  <si>
    <t>Course 1 Obstacle 23</t>
  </si>
  <si>
    <t>Course 1 Obstacle 24</t>
  </si>
  <si>
    <t>Course 1 Obstacle 25</t>
  </si>
  <si>
    <t>Course 1 Obstacle 26</t>
  </si>
  <si>
    <t>Course 1 Obstacle 27</t>
  </si>
  <si>
    <t>Course 1 Obstacle 28</t>
  </si>
  <si>
    <t>Course 1 Obstacle 29</t>
  </si>
  <si>
    <t>Course 1 Obstacle 30</t>
  </si>
  <si>
    <t>Course 1 Obstacle 31</t>
  </si>
  <si>
    <t>Course 1 Obstacle 32</t>
  </si>
  <si>
    <t>Course 1 Obstacle 33</t>
  </si>
  <si>
    <t>Course 1 Obstacle 34</t>
  </si>
  <si>
    <t>Course 1 Obstacle 35</t>
  </si>
  <si>
    <t>Course 1 Obstacle 36</t>
  </si>
  <si>
    <t>Course 1 Obstacle 37</t>
  </si>
  <si>
    <t>Course 1 Obstacle 38</t>
  </si>
  <si>
    <t>Course 1 Obstacle 39</t>
  </si>
  <si>
    <t>Course 1 Obstacle 40</t>
  </si>
  <si>
    <t>Course 1 Obstacle 41</t>
  </si>
  <si>
    <t>Course 1 Obstacle 42</t>
  </si>
  <si>
    <t>Course 1 Obstacle 43</t>
  </si>
  <si>
    <t>Course 1 Obstacle 44</t>
  </si>
  <si>
    <t>Course 1 Obstacle 45</t>
  </si>
  <si>
    <t>Course 1 Obstacle 46</t>
  </si>
  <si>
    <t>Course 1 Obstacle 47</t>
  </si>
  <si>
    <t>Course 1 Obstacle 48</t>
  </si>
  <si>
    <t>Course 1 Obstacle 49</t>
  </si>
  <si>
    <t>Course 1 Obstacle 50</t>
  </si>
  <si>
    <t>Offset</t>
  </si>
  <si>
    <t>ATD</t>
  </si>
  <si>
    <t>Lat Ext</t>
  </si>
  <si>
    <t>Pri Rad</t>
  </si>
  <si>
    <t>Lat Rad</t>
  </si>
  <si>
    <t>Inside Pri</t>
  </si>
  <si>
    <t>Obs Taller</t>
  </si>
  <si>
    <t>Inside Lat</t>
  </si>
  <si>
    <t>Lat Alt</t>
  </si>
  <si>
    <t>Penetrate Pri?</t>
  </si>
  <si>
    <t>Penetrate Lat?</t>
  </si>
  <si>
    <t>Sec Rad</t>
  </si>
  <si>
    <t>Inside Sec</t>
  </si>
  <si>
    <t>Sec Alt</t>
  </si>
  <si>
    <t>Penetrate Trans?</t>
  </si>
  <si>
    <t>Is the obstacle a penetration to any surface on any submitted approach course?</t>
  </si>
  <si>
    <t>Course 2 Obstacle 1</t>
  </si>
  <si>
    <t>Course 2 Obstacle 2</t>
  </si>
  <si>
    <t>Course 2 Obstacle 3</t>
  </si>
  <si>
    <t>Course 2 Obstacle 4</t>
  </si>
  <si>
    <t>Course 2 Obstacle 5</t>
  </si>
  <si>
    <t>Course 2 Obstacle 6</t>
  </si>
  <si>
    <t>Course 2 Obstacle 7</t>
  </si>
  <si>
    <t>Course 2 Obstacle 8</t>
  </si>
  <si>
    <t>Course 2 Obstacle 9</t>
  </si>
  <si>
    <t>Course 2 Obstacle 10</t>
  </si>
  <si>
    <t>Course 2 Obstacle 11</t>
  </si>
  <si>
    <t>Course 2 Obstacle 12</t>
  </si>
  <si>
    <t>Course 2 Obstacle 13</t>
  </si>
  <si>
    <t>Course 2 Obstacle 14</t>
  </si>
  <si>
    <t>Course 2 Obstacle 15</t>
  </si>
  <si>
    <t>Course 2 Obstacle 16</t>
  </si>
  <si>
    <t>Course 2 Obstacle 17</t>
  </si>
  <si>
    <t>Course 2 Obstacle 18</t>
  </si>
  <si>
    <t>Course 2 Obstacle 19</t>
  </si>
  <si>
    <t>Course 2 Obstacle 20</t>
  </si>
  <si>
    <t>Course 2 Obstacle 21</t>
  </si>
  <si>
    <t>Course 2 Obstacle 22</t>
  </si>
  <si>
    <t>Course 2 Obstacle 23</t>
  </si>
  <si>
    <t>Course 2 Obstacle 24</t>
  </si>
  <si>
    <t>Course 2 Obstacle 25</t>
  </si>
  <si>
    <t>Course 2 Obstacle 26</t>
  </si>
  <si>
    <t>Course 2 Obstacle 27</t>
  </si>
  <si>
    <t>Course 2 Obstacle 28</t>
  </si>
  <si>
    <t>Course 2 Obstacle 29</t>
  </si>
  <si>
    <t>Course 2 Obstacle 30</t>
  </si>
  <si>
    <t>Course 2 Obstacle 31</t>
  </si>
  <si>
    <t>Course 2 Obstacle 32</t>
  </si>
  <si>
    <t>Course 2 Obstacle 33</t>
  </si>
  <si>
    <t>Course 2 Obstacle 34</t>
  </si>
  <si>
    <t>Course 2 Obstacle 35</t>
  </si>
  <si>
    <t>Course 2 Obstacle 36</t>
  </si>
  <si>
    <t>Course 2 Obstacle 37</t>
  </si>
  <si>
    <t>Course 2 Obstacle 38</t>
  </si>
  <si>
    <t>Course 2 Obstacle 39</t>
  </si>
  <si>
    <t>Course 2 Obstacle 40</t>
  </si>
  <si>
    <t>Course 2 Obstacle 41</t>
  </si>
  <si>
    <t>Course 2 Obstacle 42</t>
  </si>
  <si>
    <t>Course 2 Obstacle 43</t>
  </si>
  <si>
    <t>Course 2 Obstacle 44</t>
  </si>
  <si>
    <t>Course 2 Obstacle 45</t>
  </si>
  <si>
    <t>Course 2 Obstacle 46</t>
  </si>
  <si>
    <t>Course 2 Obstacle 47</t>
  </si>
  <si>
    <t>Course 2 Obstacle 48</t>
  </si>
  <si>
    <t>Course 2 Obstacle 49</t>
  </si>
  <si>
    <t>Course 2 Obstacle 50</t>
  </si>
  <si>
    <t>Course 3 Obstacle 1</t>
  </si>
  <si>
    <t>Course 3 Obstacle 2</t>
  </si>
  <si>
    <t>Course 3 Obstacle 3</t>
  </si>
  <si>
    <t>Course 3 Obstacle 4</t>
  </si>
  <si>
    <t>Course 3 Obstacle 5</t>
  </si>
  <si>
    <t>Course 3 Obstacle 6</t>
  </si>
  <si>
    <t>Course 3 Obstacle 7</t>
  </si>
  <si>
    <t>Course 3 Obstacle 8</t>
  </si>
  <si>
    <t>Course 3 Obstacle 9</t>
  </si>
  <si>
    <t>Course 3 Obstacle 10</t>
  </si>
  <si>
    <t>Course 3 Obstacle 11</t>
  </si>
  <si>
    <t>Course 3 Obstacle 12</t>
  </si>
  <si>
    <t>Course 3 Obstacle 13</t>
  </si>
  <si>
    <t>Course 3 Obstacle 14</t>
  </si>
  <si>
    <t>Course 3 Obstacle 15</t>
  </si>
  <si>
    <t>Course 3 Obstacle 16</t>
  </si>
  <si>
    <t>Course 3 Obstacle 17</t>
  </si>
  <si>
    <t>Course 3 Obstacle 18</t>
  </si>
  <si>
    <t>Course 3 Obstacle 19</t>
  </si>
  <si>
    <t>Course 3 Obstacle 20</t>
  </si>
  <si>
    <t>Course 3 Obstacle 21</t>
  </si>
  <si>
    <t>Course 3 Obstacle 22</t>
  </si>
  <si>
    <t>Course 3 Obstacle 23</t>
  </si>
  <si>
    <t>Course 3 Obstacle 24</t>
  </si>
  <si>
    <t>Course 3 Obstacle 25</t>
  </si>
  <si>
    <t>Course 3 Obstacle 26</t>
  </si>
  <si>
    <t>Course 3 Obstacle 27</t>
  </si>
  <si>
    <t>Course 3 Obstacle 28</t>
  </si>
  <si>
    <t>Course 3 Obstacle 29</t>
  </si>
  <si>
    <t>Course 3 Obstacle 30</t>
  </si>
  <si>
    <t>Course 3 Obstacle 31</t>
  </si>
  <si>
    <t>Course 3 Obstacle 32</t>
  </si>
  <si>
    <t>Course 3 Obstacle 33</t>
  </si>
  <si>
    <t>Course 3 Obstacle 34</t>
  </si>
  <si>
    <t>Course 3 Obstacle 35</t>
  </si>
  <si>
    <t>Course 3 Obstacle 36</t>
  </si>
  <si>
    <t>Course 3 Obstacle 37</t>
  </si>
  <si>
    <t>Course 3 Obstacle 38</t>
  </si>
  <si>
    <t>Course 3 Obstacle 39</t>
  </si>
  <si>
    <t>Course 3 Obstacle 40</t>
  </si>
  <si>
    <t>Course 3 Obstacle 41</t>
  </si>
  <si>
    <t>Course 3 Obstacle 42</t>
  </si>
  <si>
    <t>Course 3 Obstacle 43</t>
  </si>
  <si>
    <t>Course 3 Obstacle 44</t>
  </si>
  <si>
    <t>Course 3 Obstacle 45</t>
  </si>
  <si>
    <t>Course 3 Obstacle 46</t>
  </si>
  <si>
    <t>Course 3 Obstacle 47</t>
  </si>
  <si>
    <t>Course 3 Obstacle 48</t>
  </si>
  <si>
    <t>Course 3 Obstacle 49</t>
  </si>
  <si>
    <t>Course 3 Obstacle 50</t>
  </si>
  <si>
    <t>2 ATD</t>
  </si>
  <si>
    <t>2 Offset</t>
  </si>
  <si>
    <t>3 ATD</t>
  </si>
  <si>
    <t>3 Offset</t>
  </si>
  <si>
    <t>CRS1 Primary</t>
  </si>
  <si>
    <t>CRS1 Lateral</t>
  </si>
  <si>
    <t>CRS1 Transition</t>
  </si>
  <si>
    <t>CRS2 Primary</t>
  </si>
  <si>
    <t>CRS2 Lateral</t>
  </si>
  <si>
    <t>CRS2 Transition</t>
  </si>
  <si>
    <t>CRS3 Primary</t>
  </si>
  <si>
    <t>CRS3 Lateral</t>
  </si>
  <si>
    <t>CRS3 Transition</t>
  </si>
  <si>
    <t>Latitude (DDMMSS.SS)</t>
  </si>
  <si>
    <t>Longitude (DDMMSS.SS)</t>
  </si>
  <si>
    <t>Enter DDMMSS.SS</t>
  </si>
  <si>
    <t>Mag Course</t>
  </si>
  <si>
    <t>NOTE: When entering obstacle data, if you enter data in columns C, D, and E, be sure to leave columns F, G, and H blank, and vice-versa.</t>
  </si>
  <si>
    <t>&lt;extrude&gt;1&lt;/extrude&gt;&lt;tessellate&gt;1&lt;/tessellate&gt;&lt;altitudeMode&gt;absolute&lt;/altitudeMode&gt;</t>
  </si>
  <si>
    <t>Bugs or Corrections?</t>
  </si>
  <si>
    <t>Comments?</t>
  </si>
  <si>
    <t>See the "Instructions" tab for more information</t>
  </si>
  <si>
    <t>File Name</t>
  </si>
  <si>
    <t>C:\Program Files (x86)\Google\Google Earth EC\googleearth.exe</t>
  </si>
  <si>
    <t>C:\Program Files (x86)\Google\Google Earth\client\googleearth.exe</t>
  </si>
  <si>
    <t>Step 1 - To create and view the google earth file, first open google earth on your computer and select "My Places" in the "Places" sub-window on the left. Then go to the "KML Text" tab at the bottom of this spreadsheet. Hit CTRL+A twice to select all of the text, then press CTRL+C to copy the google earth language.</t>
  </si>
  <si>
    <t>Step 2 - Go back to Google Earth and press CTRL+V. This will paste the approach into the "My Places" folder. You can view individual polygons, points, and obstacles by expanding the subfolders and toggling the check boxes on or off.</t>
  </si>
  <si>
    <t>Alternate Google Earth Instructions (not using the button)</t>
  </si>
  <si>
    <t>C:\Program Files (x86)\Google\Google Earth Pro\googleearth.exe</t>
  </si>
  <si>
    <t>GE Type</t>
  </si>
  <si>
    <t>Free</t>
  </si>
  <si>
    <t>Pro</t>
  </si>
  <si>
    <t>Eon</t>
  </si>
  <si>
    <t>Google Earth Program Type</t>
  </si>
  <si>
    <t>Google Earth Location</t>
  </si>
  <si>
    <t>Used</t>
  </si>
  <si>
    <t>Elevated Heliport?</t>
  </si>
  <si>
    <t>Is the FATO Load Bearing?</t>
  </si>
  <si>
    <t>If Necessary, Enter Your Own Design Helicopter Data</t>
  </si>
  <si>
    <t>Step 2 - If you want a google earth file showing the heliport reference point, TLOF, FATO, Safety Area, and 8:1 surfaces, enter location and route information into the light blue cells. You must also enter this data for accurate obstacle calculations.</t>
  </si>
  <si>
    <t>Step 4 - Alternately, input obstacle data by entering the latitude, longitude, and MSL height of the obstacle. Lat/Long must be in degrees/minutes/seconds, and should be to at least the 1/10th of a second for accuracy. Height is in ft MSL.</t>
  </si>
  <si>
    <t>Step 5 - When you enter an obstacle, it should automatically analyze if that obstacle penetrates any of the approach/departure surfaces for each of the 3 departure courses entered.</t>
  </si>
  <si>
    <t>NOTE: If you want to save the heliport file, right click on the main folder in your Google Earth temporary places and select "Save to My Places". When you close Google Earth, the approach is automatically saved and will be available whenever you open google earth. If you want to save a backup copy, right click on the main folder, select "Save Place As", and save the file. Saving as a KMZ is usually a smaller file size. This will create a file that you can email or load at a later date or on another computer.</t>
  </si>
  <si>
    <t>Enter Data to Calculate Heliport Dimensions</t>
  </si>
  <si>
    <t>Enter Data for Google Earth and Obstruction Calculations</t>
  </si>
  <si>
    <t>Select Google Earth Information</t>
  </si>
  <si>
    <t>Rotor Diameter (RD)</t>
  </si>
  <si>
    <t>Square or Circle?</t>
  </si>
  <si>
    <t>TLOF Circle 000</t>
  </si>
  <si>
    <t>FATO Circle 000</t>
  </si>
  <si>
    <t>SA Circle 000</t>
  </si>
  <si>
    <t>TLOF Circle 010</t>
  </si>
  <si>
    <t>TLOF Circle 020</t>
  </si>
  <si>
    <t>TLOF Circle 030</t>
  </si>
  <si>
    <t>TLOF Circle 040</t>
  </si>
  <si>
    <t>TLOF Circle 050</t>
  </si>
  <si>
    <t>TLOF Circle 060</t>
  </si>
  <si>
    <t>TLOF Circle 070</t>
  </si>
  <si>
    <t>TLOF Circle 080</t>
  </si>
  <si>
    <t>TLOF Circle 090</t>
  </si>
  <si>
    <t>TLOF Circle 100</t>
  </si>
  <si>
    <t>TLOF Circle 110</t>
  </si>
  <si>
    <t>TLOF Circle 120</t>
  </si>
  <si>
    <t>TLOF Circle 130</t>
  </si>
  <si>
    <t>TLOF Circle 140</t>
  </si>
  <si>
    <t>TLOF Circle 150</t>
  </si>
  <si>
    <t>TLOF Circle 160</t>
  </si>
  <si>
    <t>TLOF Circle 170</t>
  </si>
  <si>
    <t>TLOF Circle 180</t>
  </si>
  <si>
    <t>TLOF Circle 190</t>
  </si>
  <si>
    <t>TLOF Circle 200</t>
  </si>
  <si>
    <t>TLOF Circle 210</t>
  </si>
  <si>
    <t>TLOF Circle 220</t>
  </si>
  <si>
    <t>TLOF Circle 230</t>
  </si>
  <si>
    <t>TLOF Circle 240</t>
  </si>
  <si>
    <t>TLOF Circle 250</t>
  </si>
  <si>
    <t>TLOF Circle 260</t>
  </si>
  <si>
    <t>TLOF Circle 270</t>
  </si>
  <si>
    <t>TLOF Circle 280</t>
  </si>
  <si>
    <t>TLOF Circle 290</t>
  </si>
  <si>
    <t>TLOF Circle 300</t>
  </si>
  <si>
    <t>TLOF Circle 310</t>
  </si>
  <si>
    <t>TLOF Circle 320</t>
  </si>
  <si>
    <t>TLOF Circle 330</t>
  </si>
  <si>
    <t>TLOF Circle 340</t>
  </si>
  <si>
    <t>TLOF Circle 350</t>
  </si>
  <si>
    <t>FATO Circle 010</t>
  </si>
  <si>
    <t>FATO Circle 020</t>
  </si>
  <si>
    <t>FATO Circle 030</t>
  </si>
  <si>
    <t>FATO Circle 040</t>
  </si>
  <si>
    <t>FATO Circle 050</t>
  </si>
  <si>
    <t>FATO Circle 060</t>
  </si>
  <si>
    <t>FATO Circle 070</t>
  </si>
  <si>
    <t>FATO Circle 080</t>
  </si>
  <si>
    <t>FATO Circle 090</t>
  </si>
  <si>
    <t>FATO Circle 100</t>
  </si>
  <si>
    <t>FATO Circle 110</t>
  </si>
  <si>
    <t>FATO Circle 120</t>
  </si>
  <si>
    <t>FATO Circle 130</t>
  </si>
  <si>
    <t>FATO Circle 140</t>
  </si>
  <si>
    <t>FATO Circle 150</t>
  </si>
  <si>
    <t>FATO Circle 160</t>
  </si>
  <si>
    <t>FATO Circle 170</t>
  </si>
  <si>
    <t>FATO Circle 180</t>
  </si>
  <si>
    <t>FATO Circle 190</t>
  </si>
  <si>
    <t>FATO Circle 200</t>
  </si>
  <si>
    <t>FATO Circle 210</t>
  </si>
  <si>
    <t>FATO Circle 220</t>
  </si>
  <si>
    <t>FATO Circle 230</t>
  </si>
  <si>
    <t>FATO Circle 240</t>
  </si>
  <si>
    <t>FATO Circle 250</t>
  </si>
  <si>
    <t>FATO Circle 260</t>
  </si>
  <si>
    <t>FATO Circle 270</t>
  </si>
  <si>
    <t>FATO Circle 280</t>
  </si>
  <si>
    <t>FATO Circle 290</t>
  </si>
  <si>
    <t>FATO Circle 300</t>
  </si>
  <si>
    <t>FATO Circle 310</t>
  </si>
  <si>
    <t>FATO Circle 320</t>
  </si>
  <si>
    <t>FATO Circle 330</t>
  </si>
  <si>
    <t>FATO Circle 340</t>
  </si>
  <si>
    <t>FATO Circle 350</t>
  </si>
  <si>
    <t>SA Circle 010</t>
  </si>
  <si>
    <t>SA Circle 020</t>
  </si>
  <si>
    <t>SA Circle 030</t>
  </si>
  <si>
    <t>SA Circle 040</t>
  </si>
  <si>
    <t>SA Circle 050</t>
  </si>
  <si>
    <t>SA Circle 060</t>
  </si>
  <si>
    <t>SA Circle 070</t>
  </si>
  <si>
    <t>SA Circle 080</t>
  </si>
  <si>
    <t>SA Circle 090</t>
  </si>
  <si>
    <t>SA Circle 100</t>
  </si>
  <si>
    <t>SA Circle 110</t>
  </si>
  <si>
    <t>SA Circle 120</t>
  </si>
  <si>
    <t>SA Circle 130</t>
  </si>
  <si>
    <t>SA Circle 140</t>
  </si>
  <si>
    <t>SA Circle 150</t>
  </si>
  <si>
    <t>SA Circle 160</t>
  </si>
  <si>
    <t>SA Circle 170</t>
  </si>
  <si>
    <t>SA Circle 180</t>
  </si>
  <si>
    <t>SA Circle 190</t>
  </si>
  <si>
    <t>SA Circle 200</t>
  </si>
  <si>
    <t>SA Circle 210</t>
  </si>
  <si>
    <t>SA Circle 220</t>
  </si>
  <si>
    <t>SA Circle 230</t>
  </si>
  <si>
    <t>SA Circle 240</t>
  </si>
  <si>
    <t>SA Circle 250</t>
  </si>
  <si>
    <t>SA Circle 260</t>
  </si>
  <si>
    <t>SA Circle 270</t>
  </si>
  <si>
    <t>SA Circle 280</t>
  </si>
  <si>
    <t>SA Circle 290</t>
  </si>
  <si>
    <t>SA Circle 300</t>
  </si>
  <si>
    <t>SA Circle 310</t>
  </si>
  <si>
    <t>SA Circle 320</t>
  </si>
  <si>
    <t>SA Circle 330</t>
  </si>
  <si>
    <t>SA Circle 340</t>
  </si>
  <si>
    <t>SA Circle 350</t>
  </si>
  <si>
    <t>&lt;coordinates&gt;</t>
  </si>
  <si>
    <t>&lt;/coordinates&gt;&lt;/LinearRing&gt;</t>
  </si>
  <si>
    <t>&lt;StyleMap id="redflag1"&gt;</t>
  </si>
  <si>
    <t>&lt;styleUrl&gt;#redflag2&lt;/styleUrl&gt;</t>
  </si>
  <si>
    <t>&lt;styleUrl&gt;#redflag3&lt;/styleUrl&gt;</t>
  </si>
  <si>
    <t>&lt;Style id="redflag2"&gt;</t>
  </si>
  <si>
    <t>&lt;color&gt;ff0000ff&lt;/color&gt;</t>
  </si>
  <si>
    <t>&lt;scale&gt;0.8&lt;/scale&gt;</t>
  </si>
  <si>
    <t>&lt;LabelStyle&gt;</t>
  </si>
  <si>
    <t>&lt;scale&gt;0.6&lt;/scale&gt;</t>
  </si>
  <si>
    <t>&lt;/LabelStyle&gt;</t>
  </si>
  <si>
    <t>&lt;width&gt;5&lt;/width&gt;</t>
  </si>
  <si>
    <t>&lt;Style id="redflag3"&gt;</t>
  </si>
  <si>
    <t>&lt;scale&gt;0.933333&lt;/scale&gt;</t>
  </si>
  <si>
    <t>Any?</t>
  </si>
  <si>
    <t>AGL (ft)</t>
  </si>
  <si>
    <t>ACTUAL TLOF</t>
  </si>
  <si>
    <t>ACTUAL FATO</t>
  </si>
  <si>
    <t>ACTUAL DIMENSIONS</t>
  </si>
  <si>
    <t>Contact: Jim Carman</t>
  </si>
  <si>
    <t>SAFETY AREA</t>
  </si>
  <si>
    <t>BS</t>
  </si>
  <si>
    <t>Bell 505</t>
  </si>
  <si>
    <t>EXAMPLE 1</t>
  </si>
  <si>
    <t>REVISED MIN FATO</t>
  </si>
  <si>
    <t>REVISED MIN SAFETY AREA</t>
  </si>
  <si>
    <t>Agusta Westlund AW-169</t>
  </si>
  <si>
    <t>wheel</t>
  </si>
  <si>
    <t>BT</t>
  </si>
  <si>
    <t>BU</t>
  </si>
  <si>
    <t>Sikorsky-Schweizer S-64 Skycrane</t>
  </si>
  <si>
    <r>
      <t>INSTRUCTIONS -</t>
    </r>
    <r>
      <rPr>
        <sz val="12"/>
        <rFont val="Arial"/>
        <family val="2"/>
      </rPr>
      <t xml:space="preserve"> It may be helpful to print these instructions and follow along in the spreadsheet:</t>
    </r>
  </si>
  <si>
    <t>Step 3 - OBSTACLES: In the Obstacles tab there is an example listed and will display in Google Earth. Delete this obstacle example if not needed. To add obstacles to the google earth file or to analyze obstacles, go to the "Obstacles" tab at the bottom. Be sure to add the magnetic variation if you are entering obstacles based on a magnetic bearing. You can input up to 50 obstacles using either lat/long/elevation or magnetic bearing, slant range distance (SD), and elevation angle (INC). Bearing / SD / INC assumes a 5 ft eye level, standing at the center of the heliport.</t>
  </si>
  <si>
    <t>Controlling Dimension</t>
  </si>
  <si>
    <t>Overall Length (OL)</t>
  </si>
  <si>
    <t>AC 150/5390-2D</t>
  </si>
  <si>
    <t>Tail Rotor Circle Radius (TR)</t>
  </si>
  <si>
    <t>New AC1</t>
  </si>
  <si>
    <t>New AC2</t>
  </si>
  <si>
    <t>New AC3</t>
  </si>
  <si>
    <t>New AC4</t>
  </si>
  <si>
    <t>BV</t>
  </si>
  <si>
    <t>BW</t>
  </si>
  <si>
    <t>BX</t>
  </si>
  <si>
    <t>BY</t>
  </si>
  <si>
    <t>Controlling Dimension (D)</t>
  </si>
  <si>
    <t>Helicopter Model</t>
  </si>
  <si>
    <r>
      <t>Heliport Elevation</t>
    </r>
    <r>
      <rPr>
        <b/>
        <sz val="10"/>
        <rFont val="Arial"/>
        <family val="2"/>
      </rPr>
      <t xml:space="preserve"> MSL</t>
    </r>
  </si>
  <si>
    <r>
      <rPr>
        <sz val="12"/>
        <rFont val="Arial"/>
        <family val="2"/>
      </rPr>
      <t>This spreadsheet has macros to create and load google earth files automatically. Enable macros (or enable content) when prompted to use this function. The prompt is a yellow band  SECURITY WARNING at the top of the XLS with an embedded</t>
    </r>
    <r>
      <rPr>
        <b/>
        <sz val="12"/>
        <rFont val="Arial"/>
        <family val="2"/>
      </rPr>
      <t xml:space="preserve"> ENABLE CONTENT button.</t>
    </r>
    <r>
      <rPr>
        <sz val="12"/>
        <rFont val="Arial"/>
        <family val="2"/>
      </rPr>
      <t xml:space="preserve"> Click on</t>
    </r>
    <r>
      <rPr>
        <b/>
        <sz val="12"/>
        <rFont val="Arial"/>
        <family val="2"/>
      </rPr>
      <t xml:space="preserve"> ENABLE CONTENT.</t>
    </r>
  </si>
  <si>
    <r>
      <t xml:space="preserve">STEP 1A </t>
    </r>
    <r>
      <rPr>
        <i/>
        <sz val="12"/>
        <rFont val="Arial"/>
        <family val="2"/>
      </rPr>
      <t>"Enter Your Own Design Helicopter Data"</t>
    </r>
    <r>
      <rPr>
        <sz val="12"/>
        <rFont val="Arial"/>
        <family val="2"/>
      </rPr>
      <t xml:space="preserve"> cell </t>
    </r>
    <r>
      <rPr>
        <b/>
        <sz val="12"/>
        <color rgb="FFFF0000"/>
        <rFont val="Arial"/>
        <family val="2"/>
      </rPr>
      <t>MUST REMAIN BLANK</t>
    </r>
    <r>
      <rPr>
        <sz val="12"/>
        <rFont val="Arial"/>
        <family val="2"/>
      </rPr>
      <t xml:space="preserve"> unless your aircraft is not listed in the "Design Helicopter" drop down cell (D17). If the design helicopter is not in the drop down list, enter the Helicpoter Model, max takeoff weight, and Controlling Dimension (D)  in cells D20,D21and D22. This entered data will automatically override the Design Helicopter listed in cell D17. The spreadsheet will determine the FAA minimum  dimensions of the TLOF, FATO, and Safety Area based on your data entered.  If you want a new helicopter added to the drop down listing, contact jim.carman@faa.gov</t>
    </r>
  </si>
  <si>
    <t>GA</t>
  </si>
  <si>
    <t xml:space="preserve">Google Earth Display Issue: "My heliport displays beneath the ground surface!" To properly display the heliport data on Google Earth this entered data and Google Earth "Terrain" selection must be in sync. Heliport Elevation MSL (cell D27) Enter heliport elevation MSL. When Google EArth opens confirm the TERRAIN selection (lower left) is SELECTED (checked). If you enter heliport AGL elevation (cell D27) confirm Google Earth TERRAIN is desected (no check mark). </t>
  </si>
  <si>
    <t>NEW - When actual heliport dimenions are greater than FAA minimum dimensions.</t>
  </si>
  <si>
    <t>ACTUAL DIMENSIONS - TLOF - Enter actual TLOF dimension (cell R36) to establsih (revised) FAA minimum FATO dimensions (cell R37)</t>
  </si>
  <si>
    <t>ACTUAL DIMENSIONS - FATO - Enter actual/revised/rounded up FATO dimension (cell R40) to establish (revised) FAA min SAFETY AREA dimensions (cell R41)</t>
  </si>
  <si>
    <t>FOR FUTURE USE</t>
  </si>
  <si>
    <t>OUTBOUND COURSE (cells D29,D30,D31) 1 outbound course (cell D29) is required, 2 are preferred. Leave BLANK any outbound course (cell D30, D31) not used.</t>
  </si>
  <si>
    <r>
      <rPr>
        <b/>
        <i/>
        <sz val="12"/>
        <rFont val="Arial"/>
        <family val="2"/>
      </rPr>
      <t>**ATTENTION**</t>
    </r>
    <r>
      <rPr>
        <sz val="12"/>
        <rFont val="Arial"/>
        <family val="2"/>
      </rPr>
      <t xml:space="preserve"> -2D para 2.7.2.1 (4) is NOT calculated with this FOX tool.. This rare senerio requires manual calculations. This confirmed clarification reflects the intent of AAS-100: PPR rooftop or elevated facilities: design the minimum dimension of the TLOF to be 0.83 (D).  
</t>
    </r>
    <r>
      <rPr>
        <b/>
        <i/>
        <sz val="12"/>
        <rFont val="Arial"/>
        <family val="2"/>
      </rPr>
      <t>Option:</t>
    </r>
    <r>
      <rPr>
        <sz val="12"/>
        <rFont val="Arial"/>
        <family val="2"/>
      </rPr>
      <t xml:space="preserve"> the TLOF dimension may be reduced to twice the maximum dimension (length or width) of the undercarriage (UCL/UCW) of the design helicopter </t>
    </r>
    <r>
      <rPr>
        <i/>
        <u/>
        <sz val="12"/>
        <rFont val="Arial"/>
        <family val="2"/>
      </rPr>
      <t>if</t>
    </r>
    <r>
      <rPr>
        <sz val="12"/>
        <rFont val="Arial"/>
        <family val="2"/>
      </rPr>
      <t xml:space="preserve"> the following two conditions are met:
            a. the height of the TLOF surface above the adjacent ground or structure is no greater than 30 inches (0.8 m), 
            b. there is a solid adjacent ground or structure equal to the OL able to support 20 lbs/square (sq) ft (98 kg/sq m) live load.                                                 The intent is PPR (excluding public GA &amp; hospital/medical) minimum TLOF dimension will be 0.83(D). They offered an option to reduce the size of the TLOF "if" the heliport can satisfy the two (a&amp;b) conditions listed above. (Personal note/example: condition (b) example can be met on top of a parking deck allowing OL distance around the (30” or less in height) structure without any vertical penetrations.)</t>
    </r>
  </si>
  <si>
    <t>The GREEN cells in the Data and Obstacles tabs allows you to enter data. Vertiport tab in development.</t>
  </si>
  <si>
    <t>Boeing V-22 Osprey</t>
  </si>
  <si>
    <t>Step 0. Go to the "Data" work sheet (for Heliports) using the tabs at the bottom of this page.</t>
  </si>
  <si>
    <r>
      <t xml:space="preserve">Facility Overview Xcell (FOX) Tool - Version </t>
    </r>
    <r>
      <rPr>
        <b/>
        <sz val="14"/>
        <color rgb="FFFF0000"/>
        <rFont val="Arial"/>
        <family val="2"/>
      </rPr>
      <t>v3.2 08/11/2023</t>
    </r>
  </si>
  <si>
    <r>
      <rPr>
        <b/>
        <sz val="10"/>
        <rFont val="Arial"/>
        <family val="2"/>
      </rPr>
      <t xml:space="preserve"> </t>
    </r>
    <r>
      <rPr>
        <sz val="10"/>
        <rFont val="Arial"/>
        <family val="2"/>
      </rPr>
      <t>v3.2 08/11/2023</t>
    </r>
  </si>
  <si>
    <r>
      <rPr>
        <b/>
        <sz val="11"/>
        <rFont val="Arial"/>
        <family val="2"/>
      </rPr>
      <t>CAUTION</t>
    </r>
    <r>
      <rPr>
        <sz val="11"/>
        <rFont val="Arial"/>
        <family val="2"/>
      </rPr>
      <t xml:space="preserve"> - BOTH ACTUAL DIMENSIONS (CELLS R36 &amp; R40) MUST BE ENTERED FOR PROPER REVISED TLOF, FATO, AND SAFETY AREA DIMENSIONS</t>
    </r>
  </si>
  <si>
    <t>Two new calculation boxes (cells R36 &amp;R40). These cells assist when submitted dimension(s) is greater than FAA minimum dimension(s). These dimensions will be displayed on Gooogle Earth when you click on the 'Click To View In Google Earth" button.</t>
  </si>
  <si>
    <t xml:space="preserve">DISCLAIMER: This FOX Tool (former Heliport Dimension Tool/HDT) spreadsheet references FAA AC 150/5390-2D (-2D) Heliport Design (dated 01/05/2023). FAA AC 150/5390-2D is the governing source. Any discrepancy  between the AC and this FOX Tool please refer to the AC and contact jim.carman@faa.gov to have the FOX Tool corrected. Always confirm the FOX calculations manually using FAA AC 150/5390-2D prior to submission. </t>
  </si>
  <si>
    <t>TYPE HELIPORT NAME HERE</t>
  </si>
  <si>
    <t>Step 1 - Type in name of heliport in green "LOCATION" box.  The LOCATION box is stand alone for your naming convention. Select proper heliport design data (drop down windows) in the light gray cells at the top to calculate the minimum heliport dimensions. All of these fields except the location name contain drop down windows - select the cell and click the arrow if one appears to the right of the cell.</t>
  </si>
  <si>
    <t>Step 6 - To create and view a google earth file,  FIRST confirm/download this xls onto your computer (i.e., desktop). This program must be computer based (not running directly from email or website link). Confirm the yellow band at top of DATA page is NOT displayed. Go back to the "Data" tab at the bottom of this spreadsheet and select the version of google earth on your computer (Free, Pro, Eon). Then click the orange button. This should create the google earth file and save it in the C:\Temp folder. After clicking the button, you'll get a prompt saying the file was created in your temp folder. The folder and google earth should both open after you click "OK".</t>
  </si>
  <si>
    <t>Step 7 - If google earth does not open automatically, find your normal google earth shortcut, right click on it, and select all of the text in the box to the right of the word "Target". Copy that text, and paste it into cell D35 in the "Data" worksheet ("Data" tab at the bottom). Alternately, just double click on the google earth file in your save folder that popped up to open google earth that way.</t>
  </si>
  <si>
    <r>
      <rPr>
        <b/>
        <sz val="12"/>
        <rFont val="Arial"/>
        <family val="2"/>
      </rPr>
      <t>v3.2 CHANGES</t>
    </r>
    <r>
      <rPr>
        <sz val="12"/>
        <rFont val="Arial"/>
        <family val="2"/>
      </rPr>
      <t>: Added various aircraft. Added RED/YELLOW alerts to ACTUAL DIMENSIONS (cells R36 &amp; R40) section when entered dimensions are less than FAA (-2D) criteria standard. Corrected elevated hospital TLOF calculations.</t>
    </r>
  </si>
  <si>
    <t>Heliport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</si>
</sst>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
    <numFmt numFmtId="165" formatCode="0.000000000000000"/>
    <numFmt numFmtId="166" formatCode="0.000000000"/>
    <numFmt numFmtId="167" formatCode="0.000"/>
    <numFmt numFmtId="168" formatCode="0.00000"/>
    <numFmt numFmtId="169" formatCode="0.000000"/>
  </numFmts>
  <fonts count="45" x14ac:knownFonts="1">
    <font>
      <sz val="10"/>
      <name val="Arial"/>
    </font>
    <font>
      <sz val="8"/>
      <name val="Arial"/>
      <family val="2"/>
    </font>
    <font>
      <u/>
      <sz val="10"/>
      <color indexed="12"/>
      <name val="Arial"/>
      <family val="2"/>
    </font>
    <font>
      <b/>
      <sz val="10"/>
      <name val="Arial"/>
      <family val="2"/>
    </font>
    <font>
      <b/>
      <u/>
      <sz val="10"/>
      <color indexed="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9"/>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color indexed="81"/>
      <name val="Tahoma"/>
      <family val="2"/>
    </font>
    <font>
      <sz val="12"/>
      <name val="Arial"/>
      <family val="2"/>
    </font>
    <font>
      <b/>
      <sz val="10"/>
      <color indexed="10"/>
      <name val="Arial"/>
      <family val="2"/>
    </font>
    <font>
      <sz val="12"/>
      <name val="Arial"/>
      <family val="2"/>
    </font>
    <font>
      <b/>
      <sz val="12"/>
      <name val="Arial"/>
      <family val="2"/>
    </font>
    <font>
      <sz val="9"/>
      <color indexed="81"/>
      <name val="Tahoma"/>
      <family val="2"/>
    </font>
    <font>
      <sz val="8"/>
      <color theme="4" tint="-0.249977111117893"/>
      <name val="Arial"/>
      <family val="2"/>
    </font>
    <font>
      <b/>
      <sz val="9"/>
      <color indexed="81"/>
      <name val="Tahoma"/>
      <family val="2"/>
    </font>
    <font>
      <b/>
      <sz val="10"/>
      <color rgb="FF00B050"/>
      <name val="Arial"/>
      <family val="2"/>
    </font>
    <font>
      <b/>
      <sz val="10"/>
      <color rgb="FFFF0000"/>
      <name val="Arial"/>
      <family val="2"/>
    </font>
    <font>
      <b/>
      <sz val="10"/>
      <color rgb="FF00B0F0"/>
      <name val="Arial"/>
      <family val="2"/>
    </font>
    <font>
      <b/>
      <sz val="12"/>
      <color rgb="FF00B0F0"/>
      <name val="Arial"/>
      <family val="2"/>
    </font>
    <font>
      <sz val="9"/>
      <color indexed="81"/>
      <name val="Tahoma"/>
      <charset val="1"/>
    </font>
    <font>
      <i/>
      <sz val="12"/>
      <name val="Arial"/>
      <family val="2"/>
    </font>
    <font>
      <b/>
      <sz val="12"/>
      <color rgb="FFFF0000"/>
      <name val="Arial"/>
      <family val="2"/>
    </font>
    <font>
      <b/>
      <i/>
      <sz val="12"/>
      <name val="Arial"/>
      <family val="2"/>
    </font>
    <font>
      <b/>
      <i/>
      <sz val="9"/>
      <color indexed="81"/>
      <name val="Tahoma"/>
      <family val="2"/>
    </font>
    <font>
      <i/>
      <u/>
      <sz val="12"/>
      <name val="Arial"/>
      <family val="2"/>
    </font>
    <font>
      <b/>
      <sz val="14"/>
      <name val="Arial"/>
      <family val="2"/>
    </font>
    <font>
      <b/>
      <sz val="14"/>
      <color rgb="FFFF0000"/>
      <name val="Arial"/>
      <family val="2"/>
    </font>
    <font>
      <sz val="11"/>
      <name val="Arial"/>
      <family val="2"/>
    </font>
    <font>
      <b/>
      <sz val="11"/>
      <name val="Arial"/>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4"/>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9FBD1"/>
        <bgColor indexed="64"/>
      </patternFill>
    </fill>
    <fill>
      <patternFill patternType="solid">
        <fgColor theme="0"/>
        <bgColor indexed="64"/>
      </patternFill>
    </fill>
    <fill>
      <patternFill patternType="solid">
        <fgColor theme="0" tint="-4.9989318521683403E-2"/>
        <bgColor indexed="64"/>
      </patternFill>
    </fill>
    <fill>
      <patternFill patternType="solid">
        <fgColor rgb="FF99CCFF"/>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right/>
      <top/>
      <bottom style="thick">
        <color indexed="64"/>
      </bottom>
      <diagonal/>
    </border>
    <border>
      <left style="thick">
        <color indexed="64"/>
      </left>
      <right style="medium">
        <color indexed="64"/>
      </right>
      <top/>
      <bottom/>
      <diagonal/>
    </border>
    <border>
      <left/>
      <right style="thick">
        <color indexed="64"/>
      </right>
      <top/>
      <bottom style="thick">
        <color indexed="64"/>
      </bottom>
      <diagonal/>
    </border>
    <border>
      <left/>
      <right style="thick">
        <color indexed="64"/>
      </right>
      <top/>
      <bottom/>
      <diagonal/>
    </border>
    <border>
      <left style="medium">
        <color indexed="64"/>
      </left>
      <right style="thick">
        <color indexed="64"/>
      </right>
      <top/>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medium">
        <color indexed="64"/>
      </bottom>
      <diagonal/>
    </border>
    <border>
      <left style="thin">
        <color indexed="64"/>
      </left>
      <right style="thick">
        <color indexed="64"/>
      </right>
      <top/>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9" fillId="2"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6" fillId="3" borderId="1" applyNumberFormat="0" applyAlignment="0" applyProtection="0"/>
    <xf numFmtId="0" fontId="17" fillId="0" borderId="6" applyNumberFormat="0" applyFill="0" applyAlignment="0" applyProtection="0"/>
    <xf numFmtId="0" fontId="18" fillId="8" borderId="0" applyNumberFormat="0" applyBorder="0" applyAlignment="0" applyProtection="0"/>
    <xf numFmtId="0" fontId="6" fillId="0" borderId="0"/>
    <xf numFmtId="0" fontId="5" fillId="4" borderId="7" applyNumberFormat="0" applyFont="0" applyAlignment="0" applyProtection="0"/>
    <xf numFmtId="0" fontId="19" fillId="2"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245">
    <xf numFmtId="0" fontId="0" fillId="0" borderId="0" xfId="0"/>
    <xf numFmtId="0" fontId="0" fillId="0" borderId="0" xfId="0" applyAlignment="1">
      <alignment horizontal="center" wrapText="1"/>
    </xf>
    <xf numFmtId="3" fontId="0" fillId="0" borderId="0" xfId="0" applyNumberFormat="1" applyAlignment="1">
      <alignment horizontal="center" wrapText="1"/>
    </xf>
    <xf numFmtId="0" fontId="0" fillId="19" borderId="10" xfId="0" applyFill="1" applyBorder="1" applyAlignment="1">
      <alignment horizontal="center"/>
    </xf>
    <xf numFmtId="0" fontId="0" fillId="20" borderId="11" xfId="0" applyFill="1" applyBorder="1"/>
    <xf numFmtId="0" fontId="0" fillId="20" borderId="12" xfId="0" applyFill="1" applyBorder="1"/>
    <xf numFmtId="0" fontId="0" fillId="20" borderId="13" xfId="0" applyFill="1" applyBorder="1"/>
    <xf numFmtId="0" fontId="0" fillId="20" borderId="14" xfId="0" applyFill="1" applyBorder="1"/>
    <xf numFmtId="0" fontId="0" fillId="20" borderId="0" xfId="0" applyFill="1" applyBorder="1"/>
    <xf numFmtId="0" fontId="0" fillId="20" borderId="15" xfId="0" applyFill="1" applyBorder="1"/>
    <xf numFmtId="0" fontId="2" fillId="20" borderId="0" xfId="34" applyFill="1" applyBorder="1" applyAlignment="1" applyProtection="1"/>
    <xf numFmtId="2" fontId="0" fillId="20" borderId="0" xfId="0" applyNumberFormat="1" applyFill="1" applyBorder="1"/>
    <xf numFmtId="0" fontId="3" fillId="20" borderId="0" xfId="0" applyFont="1" applyFill="1" applyBorder="1" applyAlignment="1">
      <alignment horizontal="right"/>
    </xf>
    <xf numFmtId="0" fontId="3" fillId="20" borderId="0" xfId="0" applyFont="1" applyFill="1" applyBorder="1" applyAlignment="1">
      <alignment horizontal="center"/>
    </xf>
    <xf numFmtId="0" fontId="0" fillId="20" borderId="0" xfId="0" applyFill="1" applyBorder="1" applyAlignment="1">
      <alignment horizontal="left"/>
    </xf>
    <xf numFmtId="0" fontId="0" fillId="20" borderId="16" xfId="0" applyFill="1" applyBorder="1"/>
    <xf numFmtId="0" fontId="0" fillId="20" borderId="17" xfId="0" applyFill="1" applyBorder="1"/>
    <xf numFmtId="0" fontId="0" fillId="20" borderId="18" xfId="0" applyFill="1" applyBorder="1"/>
    <xf numFmtId="0" fontId="4" fillId="20" borderId="17" xfId="34" applyFont="1" applyFill="1" applyBorder="1" applyAlignment="1" applyProtection="1"/>
    <xf numFmtId="0" fontId="0" fillId="21" borderId="0" xfId="0" applyFill="1" applyBorder="1"/>
    <xf numFmtId="2" fontId="0" fillId="19" borderId="10" xfId="0" applyNumberFormat="1" applyFill="1" applyBorder="1" applyAlignment="1">
      <alignment horizontal="center"/>
    </xf>
    <xf numFmtId="0" fontId="5" fillId="18" borderId="21" xfId="0" applyFont="1" applyFill="1" applyBorder="1" applyAlignment="1">
      <alignment horizontal="center"/>
    </xf>
    <xf numFmtId="0" fontId="5" fillId="0" borderId="0" xfId="0" applyFont="1"/>
    <xf numFmtId="0" fontId="0" fillId="0" borderId="0" xfId="0" applyProtection="1"/>
    <xf numFmtId="0" fontId="0" fillId="0" borderId="0" xfId="0" applyAlignment="1" applyProtection="1">
      <alignment horizontal="center"/>
    </xf>
    <xf numFmtId="0" fontId="0" fillId="0" borderId="0" xfId="0" applyAlignment="1" applyProtection="1"/>
    <xf numFmtId="0" fontId="0" fillId="0" borderId="11" xfId="0" applyBorder="1" applyProtection="1"/>
    <xf numFmtId="0" fontId="0" fillId="0" borderId="12" xfId="0" applyBorder="1" applyAlignment="1" applyProtection="1">
      <alignment horizontal="center"/>
    </xf>
    <xf numFmtId="0" fontId="0" fillId="0" borderId="14" xfId="0" applyBorder="1" applyProtection="1"/>
    <xf numFmtId="0" fontId="0" fillId="0" borderId="0" xfId="0" applyBorder="1" applyAlignment="1" applyProtection="1">
      <alignment horizontal="center"/>
    </xf>
    <xf numFmtId="0" fontId="0" fillId="0" borderId="16" xfId="0" applyBorder="1" applyProtection="1"/>
    <xf numFmtId="0" fontId="0" fillId="0" borderId="17" xfId="0" applyBorder="1" applyAlignment="1" applyProtection="1">
      <alignment horizontal="center"/>
    </xf>
    <xf numFmtId="0" fontId="0" fillId="0" borderId="0" xfId="0" applyAlignment="1">
      <alignment horizontal="center"/>
    </xf>
    <xf numFmtId="0" fontId="0" fillId="0" borderId="11" xfId="0" applyBorder="1"/>
    <xf numFmtId="0" fontId="0" fillId="0" borderId="14" xfId="0" applyBorder="1"/>
    <xf numFmtId="0" fontId="0" fillId="0" borderId="16" xfId="0" applyBorder="1"/>
    <xf numFmtId="164" fontId="0" fillId="22" borderId="23" xfId="0" applyNumberFormat="1" applyFill="1" applyBorder="1" applyAlignment="1" applyProtection="1">
      <alignment horizontal="center"/>
    </xf>
    <xf numFmtId="168" fontId="0" fillId="22" borderId="23" xfId="0" applyNumberFormat="1" applyFill="1" applyBorder="1" applyAlignment="1" applyProtection="1">
      <alignment horizontal="center"/>
    </xf>
    <xf numFmtId="168" fontId="0" fillId="22" borderId="10" xfId="0" applyNumberFormat="1" applyFill="1" applyBorder="1" applyAlignment="1" applyProtection="1">
      <alignment horizontal="center"/>
    </xf>
    <xf numFmtId="168" fontId="0" fillId="22" borderId="24" xfId="0" applyNumberFormat="1" applyFill="1" applyBorder="1" applyAlignment="1" applyProtection="1">
      <alignment horizontal="center"/>
    </xf>
    <xf numFmtId="168" fontId="0" fillId="22" borderId="25" xfId="0" applyNumberFormat="1" applyFill="1" applyBorder="1" applyAlignment="1" applyProtection="1">
      <alignment horizontal="center"/>
    </xf>
    <xf numFmtId="168" fontId="0" fillId="22" borderId="26" xfId="0" applyNumberFormat="1" applyFill="1" applyBorder="1" applyAlignment="1" applyProtection="1">
      <alignment horizontal="center"/>
    </xf>
    <xf numFmtId="168" fontId="0" fillId="22" borderId="27" xfId="0" applyNumberFormat="1" applyFill="1" applyBorder="1" applyAlignment="1" applyProtection="1">
      <alignment horizontal="center"/>
    </xf>
    <xf numFmtId="0" fontId="0" fillId="22" borderId="10" xfId="0" applyFill="1" applyBorder="1" applyAlignment="1">
      <alignment horizontal="center"/>
    </xf>
    <xf numFmtId="0" fontId="0" fillId="18" borderId="0" xfId="0" applyFill="1" applyProtection="1"/>
    <xf numFmtId="165" fontId="0" fillId="18" borderId="0" xfId="0" applyNumberFormat="1" applyFill="1" applyProtection="1"/>
    <xf numFmtId="166" fontId="0" fillId="18" borderId="0" xfId="0" applyNumberFormat="1" applyFill="1" applyProtection="1"/>
    <xf numFmtId="0" fontId="0" fillId="19" borderId="0" xfId="0" applyFill="1" applyProtection="1"/>
    <xf numFmtId="165" fontId="0" fillId="19" borderId="0" xfId="0" applyNumberFormat="1" applyFill="1" applyProtection="1"/>
    <xf numFmtId="166" fontId="0" fillId="19" borderId="0" xfId="0" applyNumberFormat="1" applyFill="1" applyProtection="1"/>
    <xf numFmtId="0" fontId="0" fillId="0" borderId="12"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3" fillId="20" borderId="0" xfId="0" applyFont="1" applyFill="1" applyBorder="1"/>
    <xf numFmtId="0" fontId="3" fillId="20" borderId="0" xfId="0" applyFont="1" applyFill="1" applyBorder="1" applyAlignment="1">
      <alignment horizontal="left"/>
    </xf>
    <xf numFmtId="0" fontId="3" fillId="20" borderId="17" xfId="0" applyFont="1" applyFill="1" applyBorder="1" applyAlignment="1">
      <alignment horizontal="left"/>
    </xf>
    <xf numFmtId="1" fontId="3" fillId="0" borderId="28" xfId="0" applyNumberFormat="1" applyFont="1" applyFill="1" applyBorder="1" applyAlignment="1">
      <alignment horizontal="center"/>
    </xf>
    <xf numFmtId="0" fontId="0" fillId="0" borderId="15" xfId="0" applyBorder="1"/>
    <xf numFmtId="0" fontId="0" fillId="0" borderId="18" xfId="0" applyBorder="1"/>
    <xf numFmtId="0" fontId="0" fillId="0" borderId="13" xfId="0" applyBorder="1"/>
    <xf numFmtId="0" fontId="3" fillId="20" borderId="12" xfId="0" applyFont="1" applyFill="1" applyBorder="1"/>
    <xf numFmtId="0" fontId="0" fillId="18" borderId="10" xfId="0" applyFill="1" applyBorder="1" applyProtection="1"/>
    <xf numFmtId="169" fontId="0" fillId="18" borderId="10" xfId="0" applyNumberFormat="1" applyFill="1" applyBorder="1" applyProtection="1"/>
    <xf numFmtId="0" fontId="5" fillId="18" borderId="10" xfId="0" applyFont="1" applyFill="1" applyBorder="1" applyAlignment="1">
      <alignment horizontal="center"/>
    </xf>
    <xf numFmtId="0" fontId="5" fillId="23" borderId="10" xfId="0" applyFont="1" applyFill="1" applyBorder="1" applyAlignment="1">
      <alignment horizontal="center"/>
    </xf>
    <xf numFmtId="0" fontId="0" fillId="23" borderId="10" xfId="0" applyFill="1" applyBorder="1" applyAlignment="1">
      <alignment horizontal="center"/>
    </xf>
    <xf numFmtId="0" fontId="0" fillId="20" borderId="14" xfId="0" applyFill="1" applyBorder="1" applyAlignment="1">
      <alignment horizontal="center"/>
    </xf>
    <xf numFmtId="0" fontId="0" fillId="18" borderId="10" xfId="0" applyFill="1" applyBorder="1"/>
    <xf numFmtId="2" fontId="0" fillId="18" borderId="10" xfId="0" applyNumberFormat="1" applyFill="1" applyBorder="1"/>
    <xf numFmtId="167" fontId="0" fillId="18" borderId="10" xfId="0" applyNumberFormat="1" applyFill="1" applyBorder="1"/>
    <xf numFmtId="0" fontId="0" fillId="0" borderId="0" xfId="0" applyAlignment="1">
      <alignment horizontal="right"/>
    </xf>
    <xf numFmtId="2" fontId="0" fillId="23" borderId="10" xfId="0" applyNumberFormat="1" applyFill="1" applyBorder="1" applyAlignment="1">
      <alignment horizontal="center"/>
    </xf>
    <xf numFmtId="0" fontId="5" fillId="23" borderId="30" xfId="0" applyFont="1" applyFill="1" applyBorder="1" applyAlignment="1">
      <alignment horizontal="center"/>
    </xf>
    <xf numFmtId="0" fontId="0" fillId="23" borderId="30" xfId="0" applyFill="1" applyBorder="1" applyAlignment="1">
      <alignment horizontal="center"/>
    </xf>
    <xf numFmtId="0" fontId="5" fillId="18" borderId="31" xfId="0" applyFont="1" applyFill="1" applyBorder="1" applyAlignment="1">
      <alignment horizontal="center"/>
    </xf>
    <xf numFmtId="0" fontId="5" fillId="18" borderId="26" xfId="0" applyFont="1" applyFill="1" applyBorder="1" applyAlignment="1">
      <alignment horizontal="center"/>
    </xf>
    <xf numFmtId="0" fontId="0" fillId="24" borderId="31" xfId="0" applyFill="1" applyBorder="1" applyAlignment="1">
      <alignment horizontal="center"/>
    </xf>
    <xf numFmtId="0" fontId="5" fillId="19" borderId="10" xfId="0" applyFont="1" applyFill="1" applyBorder="1" applyAlignment="1">
      <alignment horizontal="center"/>
    </xf>
    <xf numFmtId="2" fontId="0" fillId="24" borderId="31" xfId="0" applyNumberFormat="1" applyFill="1" applyBorder="1" applyAlignment="1">
      <alignment horizontal="center"/>
    </xf>
    <xf numFmtId="0" fontId="0" fillId="0" borderId="0" xfId="0" applyAlignment="1">
      <alignment wrapText="1"/>
    </xf>
    <xf numFmtId="0" fontId="0" fillId="25" borderId="10" xfId="0" applyFill="1" applyBorder="1" applyAlignment="1" applyProtection="1">
      <alignment horizontal="center"/>
      <protection locked="0"/>
    </xf>
    <xf numFmtId="0" fontId="24" fillId="21" borderId="0" xfId="0" applyFont="1" applyFill="1" applyAlignment="1">
      <alignment wrapText="1"/>
    </xf>
    <xf numFmtId="0" fontId="0" fillId="0" borderId="0" xfId="0" applyFill="1" applyBorder="1"/>
    <xf numFmtId="0" fontId="5" fillId="25" borderId="10" xfId="0" applyFont="1" applyFill="1" applyBorder="1" applyAlignment="1" applyProtection="1">
      <alignment horizontal="center"/>
      <protection locked="0"/>
    </xf>
    <xf numFmtId="0" fontId="0" fillId="25" borderId="29" xfId="0" applyFill="1" applyBorder="1" applyAlignment="1" applyProtection="1">
      <alignment horizontal="center"/>
      <protection locked="0"/>
    </xf>
    <xf numFmtId="0" fontId="3" fillId="21" borderId="0" xfId="0" applyFont="1" applyFill="1" applyBorder="1" applyAlignment="1">
      <alignment horizontal="center"/>
    </xf>
    <xf numFmtId="0" fontId="25" fillId="20" borderId="0" xfId="0" applyFont="1" applyFill="1" applyBorder="1"/>
    <xf numFmtId="0" fontId="0" fillId="25" borderId="10" xfId="0" applyFill="1" applyBorder="1" applyProtection="1">
      <protection locked="0"/>
    </xf>
    <xf numFmtId="0" fontId="26" fillId="21" borderId="0" xfId="0" applyFont="1" applyFill="1" applyAlignment="1">
      <alignment wrapText="1"/>
    </xf>
    <xf numFmtId="0" fontId="0" fillId="22" borderId="0" xfId="0" applyFill="1" applyBorder="1" applyAlignment="1">
      <alignment horizontal="center"/>
    </xf>
    <xf numFmtId="0" fontId="0" fillId="20" borderId="0" xfId="0" applyFill="1" applyBorder="1" applyAlignment="1">
      <alignment horizontal="center"/>
    </xf>
    <xf numFmtId="0" fontId="26" fillId="21" borderId="0" xfId="0" applyNumberFormat="1" applyFont="1" applyFill="1" applyAlignment="1">
      <alignment wrapText="1"/>
    </xf>
    <xf numFmtId="0" fontId="0" fillId="20" borderId="12" xfId="0" applyFill="1" applyBorder="1" applyAlignment="1">
      <alignment horizontal="center"/>
    </xf>
    <xf numFmtId="0" fontId="0" fillId="20" borderId="19" xfId="0" applyFill="1" applyBorder="1" applyAlignment="1">
      <alignment horizontal="center"/>
    </xf>
    <xf numFmtId="0" fontId="0" fillId="20" borderId="0" xfId="0" applyFill="1" applyBorder="1" applyAlignment="1">
      <alignment horizontal="center" wrapText="1"/>
    </xf>
    <xf numFmtId="0" fontId="0" fillId="20" borderId="17" xfId="0" applyFill="1" applyBorder="1" applyAlignment="1">
      <alignment horizontal="center"/>
    </xf>
    <xf numFmtId="0" fontId="0" fillId="28" borderId="10" xfId="0" applyFill="1" applyBorder="1" applyAlignment="1">
      <alignment horizontal="right"/>
    </xf>
    <xf numFmtId="0" fontId="5" fillId="28" borderId="10" xfId="0" applyFont="1" applyFill="1" applyBorder="1" applyAlignment="1">
      <alignment horizontal="right"/>
    </xf>
    <xf numFmtId="0" fontId="5" fillId="28" borderId="22" xfId="0" applyFont="1" applyFill="1" applyBorder="1" applyAlignment="1">
      <alignment horizontal="center"/>
    </xf>
    <xf numFmtId="0" fontId="5" fillId="28" borderId="20" xfId="0" applyFont="1" applyFill="1" applyBorder="1" applyAlignment="1">
      <alignment horizontal="center"/>
    </xf>
    <xf numFmtId="0" fontId="5" fillId="28" borderId="21" xfId="0" applyFont="1" applyFill="1" applyBorder="1" applyAlignment="1">
      <alignment horizontal="center"/>
    </xf>
    <xf numFmtId="2" fontId="0" fillId="29" borderId="10" xfId="0" applyNumberFormat="1" applyFill="1" applyBorder="1" applyAlignment="1">
      <alignment horizontal="center"/>
    </xf>
    <xf numFmtId="168" fontId="0" fillId="22" borderId="21" xfId="0" applyNumberFormat="1" applyFill="1" applyBorder="1" applyAlignment="1" applyProtection="1">
      <alignment horizontal="center"/>
    </xf>
    <xf numFmtId="168" fontId="0" fillId="22" borderId="35" xfId="0" applyNumberFormat="1" applyFill="1" applyBorder="1" applyAlignment="1" applyProtection="1">
      <alignment horizontal="center"/>
    </xf>
    <xf numFmtId="0" fontId="4" fillId="20" borderId="0" xfId="34" applyFont="1" applyFill="1" applyBorder="1" applyAlignment="1" applyProtection="1"/>
    <xf numFmtId="0" fontId="4" fillId="20" borderId="0" xfId="34" applyFont="1" applyFill="1" applyBorder="1" applyAlignment="1" applyProtection="1">
      <alignment horizontal="left"/>
    </xf>
    <xf numFmtId="0" fontId="3" fillId="20" borderId="15" xfId="0" applyFont="1" applyFill="1" applyBorder="1" applyAlignment="1">
      <alignment horizontal="center"/>
    </xf>
    <xf numFmtId="0" fontId="5" fillId="19" borderId="36" xfId="0" applyFont="1" applyFill="1" applyBorder="1" applyAlignment="1">
      <alignment horizontal="center"/>
    </xf>
    <xf numFmtId="0" fontId="0" fillId="19" borderId="10" xfId="0" applyFill="1" applyBorder="1" applyAlignment="1" applyProtection="1">
      <alignment horizontal="center"/>
    </xf>
    <xf numFmtId="0" fontId="0" fillId="20" borderId="12" xfId="0" applyFill="1" applyBorder="1" applyProtection="1"/>
    <xf numFmtId="0" fontId="5" fillId="18" borderId="10" xfId="0" applyFont="1" applyFill="1" applyBorder="1" applyAlignment="1" applyProtection="1">
      <alignment horizontal="center"/>
    </xf>
    <xf numFmtId="0" fontId="0" fillId="20" borderId="0" xfId="0" applyFill="1" applyBorder="1" applyProtection="1"/>
    <xf numFmtId="0" fontId="3" fillId="20" borderId="0" xfId="0" applyFont="1" applyFill="1" applyBorder="1" applyProtection="1"/>
    <xf numFmtId="0" fontId="0" fillId="20" borderId="17" xfId="0" applyFill="1" applyBorder="1" applyProtection="1"/>
    <xf numFmtId="0" fontId="4" fillId="20" borderId="0" xfId="34" applyFont="1" applyFill="1" applyBorder="1" applyAlignment="1" applyProtection="1">
      <protection locked="0"/>
    </xf>
    <xf numFmtId="0" fontId="0" fillId="20" borderId="0" xfId="0" applyFill="1" applyBorder="1" applyAlignment="1">
      <alignment horizontal="center" vertical="center"/>
    </xf>
    <xf numFmtId="0" fontId="0" fillId="20" borderId="37" xfId="0" applyFill="1" applyBorder="1"/>
    <xf numFmtId="0" fontId="5" fillId="31" borderId="10" xfId="0" applyFont="1" applyFill="1" applyBorder="1" applyAlignment="1" applyProtection="1">
      <alignment horizontal="center"/>
      <protection locked="0"/>
    </xf>
    <xf numFmtId="167" fontId="0" fillId="30" borderId="10" xfId="0" applyNumberFormat="1" applyFill="1" applyBorder="1" applyAlignment="1">
      <alignment horizontal="center" vertical="center"/>
    </xf>
    <xf numFmtId="167" fontId="0" fillId="29" borderId="10" xfId="0" applyNumberFormat="1" applyFill="1" applyBorder="1" applyAlignment="1">
      <alignment horizontal="center"/>
    </xf>
    <xf numFmtId="0" fontId="0" fillId="31" borderId="10" xfId="0" applyFill="1" applyBorder="1" applyAlignment="1" applyProtection="1">
      <alignment horizontal="center" vertical="center"/>
      <protection locked="0"/>
    </xf>
    <xf numFmtId="3" fontId="0" fillId="0" borderId="0" xfId="0" applyNumberFormat="1" applyFill="1" applyBorder="1"/>
    <xf numFmtId="0" fontId="0" fillId="0" borderId="12" xfId="0" applyFill="1" applyBorder="1"/>
    <xf numFmtId="3" fontId="0" fillId="0" borderId="12" xfId="0" applyNumberFormat="1" applyFill="1" applyBorder="1"/>
    <xf numFmtId="0" fontId="0" fillId="0" borderId="17" xfId="0" applyFill="1" applyBorder="1"/>
    <xf numFmtId="0" fontId="0" fillId="20" borderId="39" xfId="0" applyFill="1" applyBorder="1"/>
    <xf numFmtId="0" fontId="0" fillId="33" borderId="14" xfId="0" applyFill="1" applyBorder="1"/>
    <xf numFmtId="0" fontId="0" fillId="33" borderId="15" xfId="0" applyFill="1" applyBorder="1"/>
    <xf numFmtId="0" fontId="0" fillId="33" borderId="16" xfId="0" applyFill="1" applyBorder="1"/>
    <xf numFmtId="0" fontId="0" fillId="33" borderId="18" xfId="0" applyFill="1" applyBorder="1"/>
    <xf numFmtId="0" fontId="0" fillId="32" borderId="14" xfId="0" applyFill="1" applyBorder="1"/>
    <xf numFmtId="0" fontId="0" fillId="32" borderId="15" xfId="0" applyFill="1" applyBorder="1"/>
    <xf numFmtId="0" fontId="0" fillId="32" borderId="16" xfId="0" applyFill="1" applyBorder="1"/>
    <xf numFmtId="0" fontId="0" fillId="32" borderId="18" xfId="0" applyFill="1" applyBorder="1"/>
    <xf numFmtId="0" fontId="0" fillId="33" borderId="11" xfId="0" applyFill="1" applyBorder="1"/>
    <xf numFmtId="0" fontId="0" fillId="33" borderId="13" xfId="0" applyFill="1" applyBorder="1"/>
    <xf numFmtId="0" fontId="0" fillId="33" borderId="0" xfId="0" applyFill="1" applyBorder="1"/>
    <xf numFmtId="0" fontId="0" fillId="32" borderId="47" xfId="0" applyFill="1" applyBorder="1"/>
    <xf numFmtId="0" fontId="0" fillId="32" borderId="38" xfId="0" applyFill="1" applyBorder="1"/>
    <xf numFmtId="0" fontId="0" fillId="32" borderId="17" xfId="0" applyFill="1" applyBorder="1"/>
    <xf numFmtId="0" fontId="0" fillId="32" borderId="40" xfId="0" applyFill="1" applyBorder="1"/>
    <xf numFmtId="0" fontId="0" fillId="32" borderId="0" xfId="0" applyFill="1" applyBorder="1"/>
    <xf numFmtId="0" fontId="0" fillId="32" borderId="45" xfId="0" applyFill="1" applyBorder="1"/>
    <xf numFmtId="0" fontId="0" fillId="32" borderId="41" xfId="0" applyFill="1" applyBorder="1"/>
    <xf numFmtId="0" fontId="0" fillId="32" borderId="39" xfId="0" applyFill="1" applyBorder="1"/>
    <xf numFmtId="0" fontId="0" fillId="32" borderId="0" xfId="0" applyFill="1"/>
    <xf numFmtId="0" fontId="0" fillId="32" borderId="44" xfId="0" applyFill="1" applyBorder="1"/>
    <xf numFmtId="3" fontId="0" fillId="32" borderId="12" xfId="0" applyNumberFormat="1" applyFill="1" applyBorder="1"/>
    <xf numFmtId="0" fontId="0" fillId="32" borderId="12" xfId="0" applyFill="1" applyBorder="1"/>
    <xf numFmtId="0" fontId="0" fillId="32" borderId="43" xfId="0" applyFill="1" applyBorder="1"/>
    <xf numFmtId="3" fontId="0" fillId="32" borderId="0" xfId="0" applyNumberFormat="1" applyFill="1" applyBorder="1"/>
    <xf numFmtId="0" fontId="0" fillId="32" borderId="42" xfId="0" applyFill="1" applyBorder="1"/>
    <xf numFmtId="0" fontId="0" fillId="33" borderId="37" xfId="0" applyFill="1" applyBorder="1"/>
    <xf numFmtId="0" fontId="0" fillId="32" borderId="46" xfId="0" applyFill="1" applyBorder="1"/>
    <xf numFmtId="2" fontId="33" fillId="33" borderId="15" xfId="0" applyNumberFormat="1" applyFont="1" applyFill="1" applyBorder="1" applyAlignment="1">
      <alignment horizontal="left" vertical="center"/>
    </xf>
    <xf numFmtId="0" fontId="0" fillId="20" borderId="48" xfId="0" applyFill="1" applyBorder="1"/>
    <xf numFmtId="0" fontId="0" fillId="20" borderId="49" xfId="0" applyFill="1" applyBorder="1"/>
    <xf numFmtId="0" fontId="3" fillId="20" borderId="0" xfId="0" applyFont="1" applyFill="1" applyBorder="1" applyAlignment="1" applyProtection="1">
      <alignment horizontal="center"/>
    </xf>
    <xf numFmtId="0" fontId="0" fillId="20" borderId="51" xfId="0" applyFill="1" applyBorder="1" applyProtection="1"/>
    <xf numFmtId="0" fontId="0" fillId="20" borderId="0" xfId="0" applyFill="1" applyBorder="1" applyProtection="1">
      <protection hidden="1"/>
    </xf>
    <xf numFmtId="3" fontId="0" fillId="20" borderId="0" xfId="0" applyNumberFormat="1" applyFill="1" applyBorder="1" applyProtection="1">
      <protection hidden="1"/>
    </xf>
    <xf numFmtId="0" fontId="5" fillId="0" borderId="0" xfId="0" applyFont="1" applyAlignment="1">
      <alignment horizontal="center" wrapText="1"/>
    </xf>
    <xf numFmtId="0" fontId="5" fillId="0" borderId="0" xfId="0" applyFont="1" applyFill="1" applyAlignment="1">
      <alignment horizontal="center" wrapText="1"/>
    </xf>
    <xf numFmtId="0" fontId="0" fillId="0" borderId="0" xfId="0" applyFill="1" applyAlignment="1">
      <alignment horizontal="center" wrapText="1"/>
    </xf>
    <xf numFmtId="3" fontId="0" fillId="0" borderId="0" xfId="0" applyNumberFormat="1" applyFill="1" applyAlignment="1">
      <alignment horizontal="center" wrapText="1"/>
    </xf>
    <xf numFmtId="0" fontId="0" fillId="0" borderId="0" xfId="0" applyFill="1"/>
    <xf numFmtId="0" fontId="0" fillId="34" borderId="0" xfId="0" applyFill="1" applyBorder="1"/>
    <xf numFmtId="0" fontId="24" fillId="0" borderId="0" xfId="0" applyFont="1" applyAlignment="1">
      <alignment wrapText="1"/>
    </xf>
    <xf numFmtId="0" fontId="0" fillId="0" borderId="0" xfId="0" applyAlignment="1">
      <alignment vertical="center" wrapText="1"/>
    </xf>
    <xf numFmtId="0" fontId="0" fillId="35" borderId="10" xfId="0" applyFill="1" applyBorder="1" applyAlignment="1" applyProtection="1">
      <alignment horizontal="center"/>
      <protection locked="0"/>
    </xf>
    <xf numFmtId="0" fontId="24" fillId="21" borderId="0" xfId="0" applyFont="1" applyFill="1" applyAlignment="1">
      <alignment vertical="center" wrapText="1"/>
    </xf>
    <xf numFmtId="0" fontId="26" fillId="21" borderId="0" xfId="0" applyFont="1" applyFill="1" applyAlignment="1">
      <alignment vertical="center" wrapText="1"/>
    </xf>
    <xf numFmtId="0" fontId="24" fillId="32" borderId="0" xfId="0" applyFont="1" applyFill="1" applyBorder="1" applyAlignment="1">
      <alignment wrapText="1"/>
    </xf>
    <xf numFmtId="0" fontId="29" fillId="20" borderId="17" xfId="0" applyFont="1" applyFill="1" applyBorder="1" applyAlignment="1">
      <alignment horizontal="center" vertical="center"/>
    </xf>
    <xf numFmtId="0" fontId="5" fillId="20" borderId="17" xfId="0" applyFont="1" applyFill="1" applyBorder="1" applyAlignment="1">
      <alignment horizontal="center" vertical="center"/>
    </xf>
    <xf numFmtId="0" fontId="5" fillId="20" borderId="18" xfId="0" applyFont="1" applyFill="1" applyBorder="1" applyAlignment="1">
      <alignment horizontal="center" vertical="center"/>
    </xf>
    <xf numFmtId="0" fontId="0" fillId="20" borderId="0" xfId="0" applyFill="1" applyBorder="1" applyAlignment="1">
      <alignment horizontal="center"/>
    </xf>
    <xf numFmtId="2" fontId="0" fillId="32" borderId="11" xfId="0" applyNumberFormat="1" applyFill="1" applyBorder="1" applyAlignment="1">
      <alignment horizontal="center"/>
    </xf>
    <xf numFmtId="0" fontId="0" fillId="32" borderId="13" xfId="0" applyFill="1" applyBorder="1" applyAlignment="1">
      <alignment horizontal="center"/>
    </xf>
    <xf numFmtId="2" fontId="0" fillId="33" borderId="17" xfId="0" applyNumberFormat="1" applyFill="1" applyBorder="1" applyAlignment="1">
      <alignment horizontal="center"/>
    </xf>
    <xf numFmtId="0" fontId="0" fillId="33" borderId="17" xfId="0" applyFill="1" applyBorder="1" applyAlignment="1">
      <alignment horizontal="center"/>
    </xf>
    <xf numFmtId="0" fontId="38" fillId="0" borderId="0" xfId="0" applyFont="1" applyAlignment="1">
      <alignment wrapText="1"/>
    </xf>
    <xf numFmtId="0" fontId="4" fillId="20" borderId="0" xfId="34" applyFont="1" applyFill="1" applyBorder="1" applyAlignment="1" applyProtection="1">
      <alignment horizontal="left"/>
      <protection locked="0"/>
    </xf>
    <xf numFmtId="0" fontId="5" fillId="36" borderId="22" xfId="0" applyFont="1" applyFill="1" applyBorder="1" applyAlignment="1">
      <alignment horizontal="center"/>
    </xf>
    <xf numFmtId="0" fontId="0" fillId="36" borderId="20" xfId="0" applyFill="1" applyBorder="1" applyAlignment="1">
      <alignment horizontal="center"/>
    </xf>
    <xf numFmtId="0" fontId="5" fillId="36" borderId="20" xfId="0" applyFont="1" applyFill="1" applyBorder="1" applyAlignment="1">
      <alignment horizontal="center"/>
    </xf>
    <xf numFmtId="0" fontId="5" fillId="36" borderId="21" xfId="0" applyFont="1" applyFill="1" applyBorder="1" applyAlignment="1">
      <alignment horizontal="center"/>
    </xf>
    <xf numFmtId="0" fontId="0" fillId="28" borderId="10" xfId="0" applyFill="1" applyBorder="1" applyAlignment="1">
      <alignment horizontal="right" vertical="center"/>
    </xf>
    <xf numFmtId="0" fontId="5" fillId="28" borderId="10" xfId="0" applyFont="1" applyFill="1" applyBorder="1" applyAlignment="1">
      <alignment horizontal="right" vertical="center"/>
    </xf>
    <xf numFmtId="0" fontId="0" fillId="25" borderId="10" xfId="0" applyFill="1" applyBorder="1" applyAlignment="1" applyProtection="1">
      <alignment horizontal="center" vertical="center"/>
      <protection locked="0"/>
    </xf>
    <xf numFmtId="0" fontId="0" fillId="35" borderId="10" xfId="0" applyFill="1" applyBorder="1" applyAlignment="1" applyProtection="1">
      <alignment horizontal="center" vertical="center"/>
      <protection locked="0"/>
    </xf>
    <xf numFmtId="0" fontId="3" fillId="28" borderId="10" xfId="0" applyFont="1" applyFill="1" applyBorder="1" applyAlignment="1">
      <alignment horizontal="right" vertical="center"/>
    </xf>
    <xf numFmtId="0" fontId="5" fillId="36" borderId="10" xfId="0" applyFont="1" applyFill="1" applyBorder="1" applyAlignment="1">
      <alignment horizontal="right" vertical="center"/>
    </xf>
    <xf numFmtId="0" fontId="0" fillId="36" borderId="10" xfId="0" applyFill="1" applyBorder="1" applyAlignment="1">
      <alignment horizontal="right" vertical="center"/>
    </xf>
    <xf numFmtId="0" fontId="0" fillId="28" borderId="30" xfId="0" applyFill="1" applyBorder="1" applyAlignment="1">
      <alignment horizontal="right" vertical="center"/>
    </xf>
    <xf numFmtId="0" fontId="0" fillId="36" borderId="30" xfId="0" applyFill="1" applyBorder="1" applyAlignment="1">
      <alignment horizontal="right" vertical="center"/>
    </xf>
    <xf numFmtId="0" fontId="3" fillId="29" borderId="10" xfId="0" applyFont="1" applyFill="1" applyBorder="1" applyAlignment="1">
      <alignment horizontal="center" vertical="center"/>
    </xf>
    <xf numFmtId="0" fontId="5" fillId="29" borderId="10" xfId="0" applyFont="1" applyFill="1" applyBorder="1" applyAlignment="1">
      <alignment horizontal="center" vertical="center"/>
    </xf>
    <xf numFmtId="0" fontId="0" fillId="27" borderId="10" xfId="0" applyFill="1" applyBorder="1" applyAlignment="1" applyProtection="1">
      <alignment horizontal="center" vertical="center"/>
      <protection locked="0"/>
    </xf>
    <xf numFmtId="167" fontId="32" fillId="32" borderId="42" xfId="0" applyNumberFormat="1" applyFont="1" applyFill="1" applyBorder="1" applyAlignment="1">
      <alignment horizontal="right" vertical="center"/>
    </xf>
    <xf numFmtId="0" fontId="32" fillId="20" borderId="37" xfId="0" applyFont="1" applyFill="1" applyBorder="1"/>
    <xf numFmtId="0" fontId="41" fillId="32" borderId="0" xfId="0" applyFont="1" applyFill="1" applyAlignment="1">
      <alignment vertical="center" wrapText="1"/>
    </xf>
    <xf numFmtId="0" fontId="27" fillId="32" borderId="0" xfId="0" applyFont="1" applyFill="1" applyAlignment="1">
      <alignment vertical="center" wrapText="1"/>
    </xf>
    <xf numFmtId="0" fontId="0" fillId="32" borderId="0" xfId="0" applyFill="1" applyAlignment="1">
      <alignment wrapText="1"/>
    </xf>
    <xf numFmtId="0" fontId="24" fillId="32" borderId="0" xfId="0" applyFont="1" applyFill="1" applyAlignment="1">
      <alignment wrapText="1"/>
    </xf>
    <xf numFmtId="0" fontId="27" fillId="32" borderId="0" xfId="0" applyFont="1" applyFill="1" applyAlignment="1">
      <alignment wrapText="1"/>
    </xf>
    <xf numFmtId="0" fontId="26" fillId="32" borderId="0" xfId="0" applyFont="1" applyFill="1" applyAlignment="1">
      <alignment wrapText="1"/>
    </xf>
    <xf numFmtId="0" fontId="24" fillId="32" borderId="0" xfId="0" applyFont="1" applyFill="1" applyAlignment="1">
      <alignment vertical="center" wrapText="1"/>
    </xf>
    <xf numFmtId="0" fontId="0" fillId="37" borderId="0" xfId="0" applyFill="1" applyAlignment="1">
      <alignment horizontal="center" wrapText="1"/>
    </xf>
    <xf numFmtId="167" fontId="31" fillId="33" borderId="14" xfId="0" applyNumberFormat="1" applyFont="1" applyFill="1" applyBorder="1" applyAlignment="1">
      <alignment horizontal="left" vertical="center"/>
    </xf>
    <xf numFmtId="0" fontId="43" fillId="32" borderId="0" xfId="0" applyFont="1" applyFill="1" applyBorder="1" applyAlignment="1">
      <alignment wrapText="1"/>
    </xf>
    <xf numFmtId="0" fontId="27" fillId="0" borderId="0" xfId="0" applyFont="1"/>
    <xf numFmtId="167" fontId="32" fillId="34" borderId="0" xfId="0" applyNumberFormat="1" applyFont="1" applyFill="1" applyBorder="1" applyAlignment="1">
      <alignment horizontal="center"/>
    </xf>
    <xf numFmtId="0" fontId="32" fillId="32" borderId="38" xfId="0" applyFont="1" applyFill="1" applyBorder="1" applyAlignment="1">
      <alignment horizontal="center"/>
    </xf>
    <xf numFmtId="0" fontId="5" fillId="32" borderId="38" xfId="0" applyFont="1" applyFill="1" applyBorder="1" applyAlignment="1">
      <alignment horizontal="center"/>
    </xf>
    <xf numFmtId="0" fontId="5" fillId="36" borderId="20" xfId="0" applyFont="1" applyFill="1" applyBorder="1" applyAlignment="1">
      <alignment horizontal="center" vertical="center"/>
    </xf>
    <xf numFmtId="0" fontId="5" fillId="28" borderId="22" xfId="0" applyFont="1" applyFill="1" applyBorder="1" applyAlignment="1">
      <alignment horizontal="center" vertical="center"/>
    </xf>
    <xf numFmtId="0" fontId="5" fillId="28" borderId="21" xfId="0" applyFont="1" applyFill="1" applyBorder="1" applyAlignment="1">
      <alignment horizontal="center" vertical="center"/>
    </xf>
    <xf numFmtId="2" fontId="31" fillId="32" borderId="17" xfId="0" applyNumberFormat="1" applyFont="1" applyFill="1" applyBorder="1" applyAlignment="1">
      <alignment horizontal="center"/>
    </xf>
    <xf numFmtId="0" fontId="0" fillId="32" borderId="17" xfId="0" applyFill="1" applyBorder="1" applyAlignment="1">
      <alignment horizontal="center"/>
    </xf>
    <xf numFmtId="0" fontId="34"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28" borderId="29" xfId="0" applyFill="1" applyBorder="1" applyAlignment="1">
      <alignment horizontal="right"/>
    </xf>
    <xf numFmtId="0" fontId="0" fillId="28" borderId="30" xfId="0" applyFill="1" applyBorder="1" applyAlignment="1">
      <alignment horizontal="right"/>
    </xf>
    <xf numFmtId="0" fontId="0" fillId="28" borderId="10" xfId="0" applyFill="1" applyBorder="1" applyAlignment="1">
      <alignment horizontal="right" vertical="center"/>
    </xf>
    <xf numFmtId="2" fontId="33" fillId="33" borderId="50" xfId="0" applyNumberFormat="1" applyFont="1" applyFill="1" applyBorder="1" applyAlignment="1">
      <alignment horizontal="center" vertical="center"/>
    </xf>
    <xf numFmtId="0" fontId="33" fillId="33" borderId="17" xfId="0" applyFont="1" applyFill="1" applyBorder="1" applyAlignment="1">
      <alignment horizontal="center" vertical="center"/>
    </xf>
    <xf numFmtId="167" fontId="31" fillId="33" borderId="12" xfId="0" applyNumberFormat="1" applyFont="1" applyFill="1" applyBorder="1" applyAlignment="1">
      <alignment horizontal="center"/>
    </xf>
    <xf numFmtId="2" fontId="0" fillId="32" borderId="12" xfId="0" applyNumberFormat="1" applyFill="1" applyBorder="1" applyAlignment="1">
      <alignment horizontal="center"/>
    </xf>
    <xf numFmtId="0" fontId="0" fillId="32" borderId="12" xfId="0" applyFill="1" applyBorder="1" applyAlignment="1">
      <alignment horizontal="center"/>
    </xf>
    <xf numFmtId="0" fontId="3" fillId="28" borderId="29" xfId="0" applyFont="1" applyFill="1" applyBorder="1" applyAlignment="1">
      <alignment horizontal="center"/>
    </xf>
    <xf numFmtId="0" fontId="3" fillId="28" borderId="30" xfId="0" applyFont="1" applyFill="1" applyBorder="1" applyAlignment="1">
      <alignment horizontal="center"/>
    </xf>
    <xf numFmtId="0" fontId="5" fillId="20" borderId="12" xfId="0" applyFont="1" applyFill="1" applyBorder="1" applyAlignment="1">
      <alignment horizontal="right" vertical="center"/>
    </xf>
    <xf numFmtId="0" fontId="5" fillId="20" borderId="13" xfId="0" applyFont="1" applyFill="1" applyBorder="1" applyAlignment="1">
      <alignment horizontal="right" vertical="center"/>
    </xf>
    <xf numFmtId="0" fontId="4" fillId="20" borderId="0" xfId="34" applyFont="1" applyFill="1" applyBorder="1" applyAlignment="1" applyProtection="1">
      <protection locked="0"/>
    </xf>
    <xf numFmtId="0" fontId="3" fillId="30" borderId="10" xfId="0" applyFont="1" applyFill="1" applyBorder="1" applyAlignment="1">
      <alignment horizontal="center"/>
    </xf>
    <xf numFmtId="0" fontId="3" fillId="26" borderId="32" xfId="0" applyFont="1" applyFill="1" applyBorder="1" applyAlignment="1">
      <alignment horizontal="center"/>
    </xf>
    <xf numFmtId="0" fontId="3" fillId="26" borderId="33" xfId="0" applyFont="1" applyFill="1" applyBorder="1" applyAlignment="1">
      <alignment horizontal="center"/>
    </xf>
    <xf numFmtId="0" fontId="3" fillId="26" borderId="34" xfId="0" applyFont="1" applyFill="1" applyBorder="1" applyAlignment="1">
      <alignment horizontal="center"/>
    </xf>
    <xf numFmtId="0" fontId="3" fillId="20" borderId="29" xfId="0" applyFont="1" applyFill="1" applyBorder="1" applyAlignment="1">
      <alignment horizontal="center"/>
    </xf>
    <xf numFmtId="0" fontId="0" fillId="0" borderId="30" xfId="0" applyBorder="1" applyAlignment="1">
      <alignment horizontal="center"/>
    </xf>
    <xf numFmtId="0" fontId="4" fillId="20" borderId="0" xfId="34" applyFont="1" applyFill="1" applyBorder="1" applyAlignment="1" applyProtection="1">
      <alignment horizontal="left"/>
      <protection locked="0"/>
    </xf>
    <xf numFmtId="0" fontId="0" fillId="0" borderId="0" xfId="0"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6">
    <dxf>
      <fill>
        <patternFill>
          <bgColor indexed="44"/>
        </patternFill>
      </fill>
    </dxf>
    <dxf>
      <fill>
        <patternFill>
          <bgColor indexed="13"/>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9" defaultPivotStyle="PivotStyleLight16"/>
  <colors>
    <mruColors>
      <color rgb="FFFF4343"/>
      <color rgb="FFCCFFCC"/>
      <color rgb="FF99CCFF"/>
      <color rgb="FFC9FBD1"/>
      <color rgb="FFBCF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95250</xdr:colOff>
      <xdr:row>6</xdr:row>
      <xdr:rowOff>76200</xdr:rowOff>
    </xdr:from>
    <xdr:to>
      <xdr:col>15</xdr:col>
      <xdr:colOff>95250</xdr:colOff>
      <xdr:row>17</xdr:row>
      <xdr:rowOff>133350</xdr:rowOff>
    </xdr:to>
    <xdr:sp macro="" textlink="">
      <xdr:nvSpPr>
        <xdr:cNvPr id="5663" name="Line 22" descr="border line&#10;">
          <a:extLst>
            <a:ext uri="{FF2B5EF4-FFF2-40B4-BE49-F238E27FC236}">
              <a16:creationId xmlns:a16="http://schemas.microsoft.com/office/drawing/2014/main" id="{00000000-0008-0000-0100-00001F160000}"/>
            </a:ext>
          </a:extLst>
        </xdr:cNvPr>
        <xdr:cNvSpPr>
          <a:spLocks noChangeShapeType="1"/>
        </xdr:cNvSpPr>
      </xdr:nvSpPr>
      <xdr:spPr bwMode="auto">
        <a:xfrm>
          <a:off x="7629525" y="2543175"/>
          <a:ext cx="0" cy="1771650"/>
        </a:xfrm>
        <a:prstGeom prst="line">
          <a:avLst/>
        </a:prstGeom>
        <a:noFill/>
        <a:ln w="38100">
          <a:solidFill>
            <a:srgbClr val="000000"/>
          </a:solidFill>
          <a:round/>
          <a:headEnd/>
          <a:tailEnd/>
        </a:ln>
      </xdr:spPr>
    </xdr:sp>
    <xdr:clientData/>
  </xdr:twoCellAnchor>
  <xdr:twoCellAnchor>
    <xdr:from>
      <xdr:col>17</xdr:col>
      <xdr:colOff>514350</xdr:colOff>
      <xdr:row>6</xdr:row>
      <xdr:rowOff>76200</xdr:rowOff>
    </xdr:from>
    <xdr:to>
      <xdr:col>17</xdr:col>
      <xdr:colOff>514350</xdr:colOff>
      <xdr:row>17</xdr:row>
      <xdr:rowOff>133350</xdr:rowOff>
    </xdr:to>
    <xdr:sp macro="" textlink="">
      <xdr:nvSpPr>
        <xdr:cNvPr id="5664" name="Line 24" descr="border line">
          <a:extLst>
            <a:ext uri="{FF2B5EF4-FFF2-40B4-BE49-F238E27FC236}">
              <a16:creationId xmlns:a16="http://schemas.microsoft.com/office/drawing/2014/main" id="{00000000-0008-0000-0100-000020160000}"/>
            </a:ext>
          </a:extLst>
        </xdr:cNvPr>
        <xdr:cNvSpPr>
          <a:spLocks noChangeShapeType="1"/>
        </xdr:cNvSpPr>
      </xdr:nvSpPr>
      <xdr:spPr bwMode="auto">
        <a:xfrm>
          <a:off x="9267825" y="2543175"/>
          <a:ext cx="0" cy="1771650"/>
        </a:xfrm>
        <a:prstGeom prst="line">
          <a:avLst/>
        </a:prstGeom>
        <a:noFill/>
        <a:ln w="38100">
          <a:solidFill>
            <a:srgbClr val="000000"/>
          </a:solidFill>
          <a:round/>
          <a:headEnd/>
          <a:tailEnd/>
        </a:ln>
      </xdr:spPr>
    </xdr:sp>
    <xdr:clientData/>
  </xdr:twoCellAnchor>
  <xdr:twoCellAnchor>
    <xdr:from>
      <xdr:col>15</xdr:col>
      <xdr:colOff>85725</xdr:colOff>
      <xdr:row>6</xdr:row>
      <xdr:rowOff>95250</xdr:rowOff>
    </xdr:from>
    <xdr:to>
      <xdr:col>17</xdr:col>
      <xdr:colOff>533400</xdr:colOff>
      <xdr:row>6</xdr:row>
      <xdr:rowOff>95250</xdr:rowOff>
    </xdr:to>
    <xdr:sp macro="" textlink="">
      <xdr:nvSpPr>
        <xdr:cNvPr id="5665" name="Line 25" descr="border line">
          <a:extLst>
            <a:ext uri="{FF2B5EF4-FFF2-40B4-BE49-F238E27FC236}">
              <a16:creationId xmlns:a16="http://schemas.microsoft.com/office/drawing/2014/main" id="{00000000-0008-0000-0100-000021160000}"/>
            </a:ext>
          </a:extLst>
        </xdr:cNvPr>
        <xdr:cNvSpPr>
          <a:spLocks noChangeShapeType="1"/>
        </xdr:cNvSpPr>
      </xdr:nvSpPr>
      <xdr:spPr bwMode="auto">
        <a:xfrm>
          <a:off x="7620000" y="2562225"/>
          <a:ext cx="1666875" cy="0"/>
        </a:xfrm>
        <a:prstGeom prst="line">
          <a:avLst/>
        </a:prstGeom>
        <a:noFill/>
        <a:ln w="38100">
          <a:solidFill>
            <a:srgbClr val="000000"/>
          </a:solidFill>
          <a:round/>
          <a:headEnd/>
          <a:tailEnd/>
        </a:ln>
      </xdr:spPr>
    </xdr:sp>
    <xdr:clientData/>
  </xdr:twoCellAnchor>
  <xdr:twoCellAnchor>
    <xdr:from>
      <xdr:col>15</xdr:col>
      <xdr:colOff>85725</xdr:colOff>
      <xdr:row>17</xdr:row>
      <xdr:rowOff>114300</xdr:rowOff>
    </xdr:from>
    <xdr:to>
      <xdr:col>17</xdr:col>
      <xdr:colOff>533400</xdr:colOff>
      <xdr:row>17</xdr:row>
      <xdr:rowOff>114300</xdr:rowOff>
    </xdr:to>
    <xdr:sp macro="" textlink="">
      <xdr:nvSpPr>
        <xdr:cNvPr id="5666" name="Line 26" descr="border line">
          <a:extLst>
            <a:ext uri="{FF2B5EF4-FFF2-40B4-BE49-F238E27FC236}">
              <a16:creationId xmlns:a16="http://schemas.microsoft.com/office/drawing/2014/main" id="{00000000-0008-0000-0100-000022160000}"/>
            </a:ext>
          </a:extLst>
        </xdr:cNvPr>
        <xdr:cNvSpPr>
          <a:spLocks noChangeShapeType="1"/>
        </xdr:cNvSpPr>
      </xdr:nvSpPr>
      <xdr:spPr bwMode="auto">
        <a:xfrm>
          <a:off x="7620000" y="4295775"/>
          <a:ext cx="1666875" cy="0"/>
        </a:xfrm>
        <a:prstGeom prst="line">
          <a:avLst/>
        </a:prstGeom>
        <a:noFill/>
        <a:ln w="38100">
          <a:solidFill>
            <a:srgbClr val="000000"/>
          </a:solidFill>
          <a:round/>
          <a:headEnd/>
          <a:tailEnd/>
        </a:ln>
      </xdr:spPr>
    </xdr:sp>
    <xdr:clientData/>
  </xdr:twoCellAnchor>
  <xdr:twoCellAnchor>
    <xdr:from>
      <xdr:col>15</xdr:col>
      <xdr:colOff>323850</xdr:colOff>
      <xdr:row>7</xdr:row>
      <xdr:rowOff>76200</xdr:rowOff>
    </xdr:from>
    <xdr:to>
      <xdr:col>15</xdr:col>
      <xdr:colOff>323850</xdr:colOff>
      <xdr:row>16</xdr:row>
      <xdr:rowOff>95250</xdr:rowOff>
    </xdr:to>
    <xdr:sp macro="" textlink="">
      <xdr:nvSpPr>
        <xdr:cNvPr id="5667" name="Line 22" descr="border line">
          <a:extLst>
            <a:ext uri="{FF2B5EF4-FFF2-40B4-BE49-F238E27FC236}">
              <a16:creationId xmlns:a16="http://schemas.microsoft.com/office/drawing/2014/main" id="{00000000-0008-0000-0100-000023160000}"/>
            </a:ext>
          </a:extLst>
        </xdr:cNvPr>
        <xdr:cNvSpPr>
          <a:spLocks noChangeShapeType="1"/>
        </xdr:cNvSpPr>
      </xdr:nvSpPr>
      <xdr:spPr bwMode="auto">
        <a:xfrm>
          <a:off x="7858125" y="2714625"/>
          <a:ext cx="0" cy="1390650"/>
        </a:xfrm>
        <a:prstGeom prst="line">
          <a:avLst/>
        </a:prstGeom>
        <a:noFill/>
        <a:ln w="38100">
          <a:solidFill>
            <a:srgbClr val="000000"/>
          </a:solidFill>
          <a:round/>
          <a:headEnd/>
          <a:tailEnd/>
        </a:ln>
      </xdr:spPr>
    </xdr:sp>
    <xdr:clientData/>
  </xdr:twoCellAnchor>
  <xdr:twoCellAnchor>
    <xdr:from>
      <xdr:col>17</xdr:col>
      <xdr:colOff>295275</xdr:colOff>
      <xdr:row>7</xdr:row>
      <xdr:rowOff>76200</xdr:rowOff>
    </xdr:from>
    <xdr:to>
      <xdr:col>17</xdr:col>
      <xdr:colOff>295275</xdr:colOff>
      <xdr:row>16</xdr:row>
      <xdr:rowOff>95250</xdr:rowOff>
    </xdr:to>
    <xdr:sp macro="" textlink="">
      <xdr:nvSpPr>
        <xdr:cNvPr id="5668" name="Line 22" descr="border line">
          <a:extLst>
            <a:ext uri="{FF2B5EF4-FFF2-40B4-BE49-F238E27FC236}">
              <a16:creationId xmlns:a16="http://schemas.microsoft.com/office/drawing/2014/main" id="{00000000-0008-0000-0100-000024160000}"/>
            </a:ext>
          </a:extLst>
        </xdr:cNvPr>
        <xdr:cNvSpPr>
          <a:spLocks noChangeShapeType="1"/>
        </xdr:cNvSpPr>
      </xdr:nvSpPr>
      <xdr:spPr bwMode="auto">
        <a:xfrm>
          <a:off x="9048750" y="2714625"/>
          <a:ext cx="0" cy="1390650"/>
        </a:xfrm>
        <a:prstGeom prst="line">
          <a:avLst/>
        </a:prstGeom>
        <a:noFill/>
        <a:ln w="38100">
          <a:solidFill>
            <a:srgbClr val="000000"/>
          </a:solidFill>
          <a:round/>
          <a:headEnd/>
          <a:tailEnd/>
        </a:ln>
      </xdr:spPr>
    </xdr:sp>
    <xdr:clientData/>
  </xdr:twoCellAnchor>
  <xdr:twoCellAnchor>
    <xdr:from>
      <xdr:col>15</xdr:col>
      <xdr:colOff>533400</xdr:colOff>
      <xdr:row>7</xdr:row>
      <xdr:rowOff>76200</xdr:rowOff>
    </xdr:from>
    <xdr:to>
      <xdr:col>15</xdr:col>
      <xdr:colOff>533400</xdr:colOff>
      <xdr:row>11</xdr:row>
      <xdr:rowOff>152400</xdr:rowOff>
    </xdr:to>
    <xdr:sp macro="" textlink="">
      <xdr:nvSpPr>
        <xdr:cNvPr id="5669" name="Line 22" descr="border line">
          <a:extLst>
            <a:ext uri="{FF2B5EF4-FFF2-40B4-BE49-F238E27FC236}">
              <a16:creationId xmlns:a16="http://schemas.microsoft.com/office/drawing/2014/main" id="{00000000-0008-0000-0100-000025160000}"/>
            </a:ext>
          </a:extLst>
        </xdr:cNvPr>
        <xdr:cNvSpPr>
          <a:spLocks noChangeShapeType="1"/>
        </xdr:cNvSpPr>
      </xdr:nvSpPr>
      <xdr:spPr bwMode="auto">
        <a:xfrm flipH="1">
          <a:off x="8067675" y="2714625"/>
          <a:ext cx="0" cy="590550"/>
        </a:xfrm>
        <a:prstGeom prst="line">
          <a:avLst/>
        </a:prstGeom>
        <a:noFill/>
        <a:ln w="38100">
          <a:solidFill>
            <a:srgbClr val="000000"/>
          </a:solidFill>
          <a:round/>
          <a:headEnd/>
          <a:tailEnd/>
        </a:ln>
      </xdr:spPr>
    </xdr:sp>
    <xdr:clientData/>
  </xdr:twoCellAnchor>
  <xdr:twoCellAnchor>
    <xdr:from>
      <xdr:col>15</xdr:col>
      <xdr:colOff>533400</xdr:colOff>
      <xdr:row>13</xdr:row>
      <xdr:rowOff>19050</xdr:rowOff>
    </xdr:from>
    <xdr:to>
      <xdr:col>15</xdr:col>
      <xdr:colOff>533400</xdr:colOff>
      <xdr:row>16</xdr:row>
      <xdr:rowOff>95250</xdr:rowOff>
    </xdr:to>
    <xdr:sp macro="" textlink="">
      <xdr:nvSpPr>
        <xdr:cNvPr id="5670" name="Line 22" descr="border line">
          <a:extLst>
            <a:ext uri="{FF2B5EF4-FFF2-40B4-BE49-F238E27FC236}">
              <a16:creationId xmlns:a16="http://schemas.microsoft.com/office/drawing/2014/main" id="{00000000-0008-0000-0100-000026160000}"/>
            </a:ext>
          </a:extLst>
        </xdr:cNvPr>
        <xdr:cNvSpPr>
          <a:spLocks noChangeShapeType="1"/>
        </xdr:cNvSpPr>
      </xdr:nvSpPr>
      <xdr:spPr bwMode="auto">
        <a:xfrm flipH="1">
          <a:off x="8067675" y="3514725"/>
          <a:ext cx="0" cy="590550"/>
        </a:xfrm>
        <a:prstGeom prst="line">
          <a:avLst/>
        </a:prstGeom>
        <a:noFill/>
        <a:ln w="38100">
          <a:solidFill>
            <a:srgbClr val="000000"/>
          </a:solidFill>
          <a:round/>
          <a:headEnd/>
          <a:tailEnd/>
        </a:ln>
      </xdr:spPr>
    </xdr:sp>
    <xdr:clientData/>
  </xdr:twoCellAnchor>
  <xdr:twoCellAnchor>
    <xdr:from>
      <xdr:col>17</xdr:col>
      <xdr:colOff>95250</xdr:colOff>
      <xdr:row>7</xdr:row>
      <xdr:rowOff>76200</xdr:rowOff>
    </xdr:from>
    <xdr:to>
      <xdr:col>17</xdr:col>
      <xdr:colOff>95250</xdr:colOff>
      <xdr:row>11</xdr:row>
      <xdr:rowOff>152400</xdr:rowOff>
    </xdr:to>
    <xdr:sp macro="" textlink="">
      <xdr:nvSpPr>
        <xdr:cNvPr id="5671" name="Line 22" descr="border line">
          <a:extLst>
            <a:ext uri="{FF2B5EF4-FFF2-40B4-BE49-F238E27FC236}">
              <a16:creationId xmlns:a16="http://schemas.microsoft.com/office/drawing/2014/main" id="{00000000-0008-0000-0100-000027160000}"/>
            </a:ext>
          </a:extLst>
        </xdr:cNvPr>
        <xdr:cNvSpPr>
          <a:spLocks noChangeShapeType="1"/>
        </xdr:cNvSpPr>
      </xdr:nvSpPr>
      <xdr:spPr bwMode="auto">
        <a:xfrm flipH="1">
          <a:off x="8848725" y="2714625"/>
          <a:ext cx="0" cy="590550"/>
        </a:xfrm>
        <a:prstGeom prst="line">
          <a:avLst/>
        </a:prstGeom>
        <a:noFill/>
        <a:ln w="38100">
          <a:solidFill>
            <a:srgbClr val="000000"/>
          </a:solidFill>
          <a:round/>
          <a:headEnd/>
          <a:tailEnd/>
        </a:ln>
      </xdr:spPr>
    </xdr:sp>
    <xdr:clientData/>
  </xdr:twoCellAnchor>
  <xdr:twoCellAnchor>
    <xdr:from>
      <xdr:col>17</xdr:col>
      <xdr:colOff>95250</xdr:colOff>
      <xdr:row>13</xdr:row>
      <xdr:rowOff>19050</xdr:rowOff>
    </xdr:from>
    <xdr:to>
      <xdr:col>17</xdr:col>
      <xdr:colOff>95250</xdr:colOff>
      <xdr:row>16</xdr:row>
      <xdr:rowOff>95250</xdr:rowOff>
    </xdr:to>
    <xdr:sp macro="" textlink="">
      <xdr:nvSpPr>
        <xdr:cNvPr id="5672" name="Line 22" descr="border line">
          <a:extLst>
            <a:ext uri="{FF2B5EF4-FFF2-40B4-BE49-F238E27FC236}">
              <a16:creationId xmlns:a16="http://schemas.microsoft.com/office/drawing/2014/main" id="{00000000-0008-0000-0100-000028160000}"/>
            </a:ext>
          </a:extLst>
        </xdr:cNvPr>
        <xdr:cNvSpPr>
          <a:spLocks noChangeShapeType="1"/>
        </xdr:cNvSpPr>
      </xdr:nvSpPr>
      <xdr:spPr bwMode="auto">
        <a:xfrm flipH="1">
          <a:off x="8848725" y="3514725"/>
          <a:ext cx="0" cy="590550"/>
        </a:xfrm>
        <a:prstGeom prst="line">
          <a:avLst/>
        </a:prstGeom>
        <a:noFill/>
        <a:ln w="38100">
          <a:solidFill>
            <a:srgbClr val="000000"/>
          </a:solidFill>
          <a:round/>
          <a:headEnd/>
          <a:tailEnd/>
        </a:ln>
      </xdr:spPr>
    </xdr:sp>
    <xdr:clientData/>
  </xdr:twoCellAnchor>
  <xdr:twoCellAnchor>
    <xdr:from>
      <xdr:col>15</xdr:col>
      <xdr:colOff>533400</xdr:colOff>
      <xdr:row>11</xdr:row>
      <xdr:rowOff>133350</xdr:rowOff>
    </xdr:from>
    <xdr:to>
      <xdr:col>17</xdr:col>
      <xdr:colOff>104775</xdr:colOff>
      <xdr:row>11</xdr:row>
      <xdr:rowOff>133350</xdr:rowOff>
    </xdr:to>
    <xdr:sp macro="" textlink="">
      <xdr:nvSpPr>
        <xdr:cNvPr id="5673" name="Line 22" descr="border line">
          <a:extLst>
            <a:ext uri="{FF2B5EF4-FFF2-40B4-BE49-F238E27FC236}">
              <a16:creationId xmlns:a16="http://schemas.microsoft.com/office/drawing/2014/main" id="{00000000-0008-0000-0100-000029160000}"/>
            </a:ext>
          </a:extLst>
        </xdr:cNvPr>
        <xdr:cNvSpPr>
          <a:spLocks noChangeShapeType="1"/>
        </xdr:cNvSpPr>
      </xdr:nvSpPr>
      <xdr:spPr bwMode="auto">
        <a:xfrm>
          <a:off x="8067675" y="3286125"/>
          <a:ext cx="790575" cy="0"/>
        </a:xfrm>
        <a:prstGeom prst="line">
          <a:avLst/>
        </a:prstGeom>
        <a:noFill/>
        <a:ln w="38100">
          <a:solidFill>
            <a:srgbClr val="000000"/>
          </a:solidFill>
          <a:round/>
          <a:headEnd/>
          <a:tailEnd/>
        </a:ln>
      </xdr:spPr>
    </xdr:sp>
    <xdr:clientData/>
  </xdr:twoCellAnchor>
  <xdr:twoCellAnchor>
    <xdr:from>
      <xdr:col>15</xdr:col>
      <xdr:colOff>523875</xdr:colOff>
      <xdr:row>13</xdr:row>
      <xdr:rowOff>38100</xdr:rowOff>
    </xdr:from>
    <xdr:to>
      <xdr:col>17</xdr:col>
      <xdr:colOff>95250</xdr:colOff>
      <xdr:row>13</xdr:row>
      <xdr:rowOff>38100</xdr:rowOff>
    </xdr:to>
    <xdr:sp macro="" textlink="">
      <xdr:nvSpPr>
        <xdr:cNvPr id="5674" name="Line 22" descr="border line">
          <a:extLst>
            <a:ext uri="{FF2B5EF4-FFF2-40B4-BE49-F238E27FC236}">
              <a16:creationId xmlns:a16="http://schemas.microsoft.com/office/drawing/2014/main" id="{00000000-0008-0000-0100-00002A160000}"/>
            </a:ext>
          </a:extLst>
        </xdr:cNvPr>
        <xdr:cNvSpPr>
          <a:spLocks noChangeShapeType="1"/>
        </xdr:cNvSpPr>
      </xdr:nvSpPr>
      <xdr:spPr bwMode="auto">
        <a:xfrm>
          <a:off x="8058150" y="3533775"/>
          <a:ext cx="790575" cy="0"/>
        </a:xfrm>
        <a:prstGeom prst="line">
          <a:avLst/>
        </a:prstGeom>
        <a:noFill/>
        <a:ln w="38100">
          <a:solidFill>
            <a:srgbClr val="000000"/>
          </a:solidFill>
          <a:round/>
          <a:headEnd/>
          <a:tailEnd/>
        </a:ln>
      </xdr:spPr>
    </xdr:sp>
    <xdr:clientData/>
  </xdr:twoCellAnchor>
  <xdr:twoCellAnchor>
    <xdr:from>
      <xdr:col>15</xdr:col>
      <xdr:colOff>323850</xdr:colOff>
      <xdr:row>7</xdr:row>
      <xdr:rowOff>95250</xdr:rowOff>
    </xdr:from>
    <xdr:to>
      <xdr:col>15</xdr:col>
      <xdr:colOff>523875</xdr:colOff>
      <xdr:row>7</xdr:row>
      <xdr:rowOff>95250</xdr:rowOff>
    </xdr:to>
    <xdr:sp macro="" textlink="">
      <xdr:nvSpPr>
        <xdr:cNvPr id="5675" name="Line 22" descr="border line">
          <a:extLst>
            <a:ext uri="{FF2B5EF4-FFF2-40B4-BE49-F238E27FC236}">
              <a16:creationId xmlns:a16="http://schemas.microsoft.com/office/drawing/2014/main" id="{00000000-0008-0000-0100-00002B160000}"/>
            </a:ext>
          </a:extLst>
        </xdr:cNvPr>
        <xdr:cNvSpPr>
          <a:spLocks noChangeShapeType="1"/>
        </xdr:cNvSpPr>
      </xdr:nvSpPr>
      <xdr:spPr bwMode="auto">
        <a:xfrm>
          <a:off x="7858125" y="2733675"/>
          <a:ext cx="200025" cy="0"/>
        </a:xfrm>
        <a:prstGeom prst="line">
          <a:avLst/>
        </a:prstGeom>
        <a:noFill/>
        <a:ln w="38100">
          <a:solidFill>
            <a:srgbClr val="000000"/>
          </a:solidFill>
          <a:round/>
          <a:headEnd/>
          <a:tailEnd/>
        </a:ln>
      </xdr:spPr>
    </xdr:sp>
    <xdr:clientData/>
  </xdr:twoCellAnchor>
  <xdr:twoCellAnchor>
    <xdr:from>
      <xdr:col>15</xdr:col>
      <xdr:colOff>333375</xdr:colOff>
      <xdr:row>16</xdr:row>
      <xdr:rowOff>76200</xdr:rowOff>
    </xdr:from>
    <xdr:to>
      <xdr:col>15</xdr:col>
      <xdr:colOff>533400</xdr:colOff>
      <xdr:row>16</xdr:row>
      <xdr:rowOff>76200</xdr:rowOff>
    </xdr:to>
    <xdr:sp macro="" textlink="">
      <xdr:nvSpPr>
        <xdr:cNvPr id="5676" name="Line 22" descr="border line">
          <a:extLst>
            <a:ext uri="{FF2B5EF4-FFF2-40B4-BE49-F238E27FC236}">
              <a16:creationId xmlns:a16="http://schemas.microsoft.com/office/drawing/2014/main" id="{00000000-0008-0000-0100-00002C160000}"/>
            </a:ext>
          </a:extLst>
        </xdr:cNvPr>
        <xdr:cNvSpPr>
          <a:spLocks noChangeShapeType="1"/>
        </xdr:cNvSpPr>
      </xdr:nvSpPr>
      <xdr:spPr bwMode="auto">
        <a:xfrm>
          <a:off x="7867650" y="4086225"/>
          <a:ext cx="200025" cy="0"/>
        </a:xfrm>
        <a:prstGeom prst="line">
          <a:avLst/>
        </a:prstGeom>
        <a:noFill/>
        <a:ln w="38100">
          <a:solidFill>
            <a:srgbClr val="000000"/>
          </a:solidFill>
          <a:round/>
          <a:headEnd/>
          <a:tailEnd/>
        </a:ln>
      </xdr:spPr>
    </xdr:sp>
    <xdr:clientData/>
  </xdr:twoCellAnchor>
  <xdr:twoCellAnchor>
    <xdr:from>
      <xdr:col>17</xdr:col>
      <xdr:colOff>95250</xdr:colOff>
      <xdr:row>7</xdr:row>
      <xdr:rowOff>95250</xdr:rowOff>
    </xdr:from>
    <xdr:to>
      <xdr:col>17</xdr:col>
      <xdr:colOff>295275</xdr:colOff>
      <xdr:row>7</xdr:row>
      <xdr:rowOff>95250</xdr:rowOff>
    </xdr:to>
    <xdr:sp macro="" textlink="">
      <xdr:nvSpPr>
        <xdr:cNvPr id="5677" name="Line 22" descr="border line">
          <a:extLst>
            <a:ext uri="{FF2B5EF4-FFF2-40B4-BE49-F238E27FC236}">
              <a16:creationId xmlns:a16="http://schemas.microsoft.com/office/drawing/2014/main" id="{00000000-0008-0000-0100-00002D160000}"/>
            </a:ext>
          </a:extLst>
        </xdr:cNvPr>
        <xdr:cNvSpPr>
          <a:spLocks noChangeShapeType="1"/>
        </xdr:cNvSpPr>
      </xdr:nvSpPr>
      <xdr:spPr bwMode="auto">
        <a:xfrm>
          <a:off x="8848725" y="2733675"/>
          <a:ext cx="200025" cy="0"/>
        </a:xfrm>
        <a:prstGeom prst="line">
          <a:avLst/>
        </a:prstGeom>
        <a:noFill/>
        <a:ln w="38100">
          <a:solidFill>
            <a:srgbClr val="000000"/>
          </a:solidFill>
          <a:round/>
          <a:headEnd/>
          <a:tailEnd/>
        </a:ln>
      </xdr:spPr>
    </xdr:sp>
    <xdr:clientData/>
  </xdr:twoCellAnchor>
  <xdr:twoCellAnchor>
    <xdr:from>
      <xdr:col>17</xdr:col>
      <xdr:colOff>95250</xdr:colOff>
      <xdr:row>16</xdr:row>
      <xdr:rowOff>76200</xdr:rowOff>
    </xdr:from>
    <xdr:to>
      <xdr:col>17</xdr:col>
      <xdr:colOff>295275</xdr:colOff>
      <xdr:row>16</xdr:row>
      <xdr:rowOff>76200</xdr:rowOff>
    </xdr:to>
    <xdr:sp macro="" textlink="">
      <xdr:nvSpPr>
        <xdr:cNvPr id="5678" name="Line 22" descr="border line">
          <a:extLst>
            <a:ext uri="{FF2B5EF4-FFF2-40B4-BE49-F238E27FC236}">
              <a16:creationId xmlns:a16="http://schemas.microsoft.com/office/drawing/2014/main" id="{00000000-0008-0000-0100-00002E160000}"/>
            </a:ext>
          </a:extLst>
        </xdr:cNvPr>
        <xdr:cNvSpPr>
          <a:spLocks noChangeShapeType="1"/>
        </xdr:cNvSpPr>
      </xdr:nvSpPr>
      <xdr:spPr bwMode="auto">
        <a:xfrm>
          <a:off x="8848725" y="4086225"/>
          <a:ext cx="200025" cy="0"/>
        </a:xfrm>
        <a:prstGeom prst="line">
          <a:avLst/>
        </a:prstGeom>
        <a:noFill/>
        <a:ln w="38100">
          <a:solidFill>
            <a:srgbClr val="000000"/>
          </a:solidFill>
          <a:round/>
          <a:headEnd/>
          <a:tailEnd/>
        </a:ln>
      </xdr:spPr>
    </xdr:sp>
    <xdr:clientData/>
  </xdr:twoCellAnchor>
  <xdr:twoCellAnchor>
    <xdr:from>
      <xdr:col>15</xdr:col>
      <xdr:colOff>552450</xdr:colOff>
      <xdr:row>8</xdr:row>
      <xdr:rowOff>95250</xdr:rowOff>
    </xdr:from>
    <xdr:to>
      <xdr:col>16</xdr:col>
      <xdr:colOff>228600</xdr:colOff>
      <xdr:row>8</xdr:row>
      <xdr:rowOff>95250</xdr:rowOff>
    </xdr:to>
    <xdr:sp macro="" textlink="">
      <xdr:nvSpPr>
        <xdr:cNvPr id="5679" name="Line 175" descr="dimension arrow">
          <a:extLst>
            <a:ext uri="{FF2B5EF4-FFF2-40B4-BE49-F238E27FC236}">
              <a16:creationId xmlns:a16="http://schemas.microsoft.com/office/drawing/2014/main" id="{00000000-0008-0000-0100-00002F160000}"/>
            </a:ext>
          </a:extLst>
        </xdr:cNvPr>
        <xdr:cNvSpPr>
          <a:spLocks noChangeShapeType="1"/>
        </xdr:cNvSpPr>
      </xdr:nvSpPr>
      <xdr:spPr bwMode="auto">
        <a:xfrm flipH="1">
          <a:off x="8086725" y="2905125"/>
          <a:ext cx="285750" cy="0"/>
        </a:xfrm>
        <a:prstGeom prst="line">
          <a:avLst/>
        </a:prstGeom>
        <a:noFill/>
        <a:ln w="9525">
          <a:solidFill>
            <a:srgbClr val="000000"/>
          </a:solidFill>
          <a:round/>
          <a:headEnd/>
          <a:tailEnd type="triangle" w="med" len="med"/>
        </a:ln>
      </xdr:spPr>
    </xdr:sp>
    <xdr:clientData/>
  </xdr:twoCellAnchor>
  <xdr:twoCellAnchor>
    <xdr:from>
      <xdr:col>15</xdr:col>
      <xdr:colOff>19050</xdr:colOff>
      <xdr:row>8</xdr:row>
      <xdr:rowOff>95250</xdr:rowOff>
    </xdr:from>
    <xdr:to>
      <xdr:col>15</xdr:col>
      <xdr:colOff>314325</xdr:colOff>
      <xdr:row>8</xdr:row>
      <xdr:rowOff>95250</xdr:rowOff>
    </xdr:to>
    <xdr:sp macro="" textlink="">
      <xdr:nvSpPr>
        <xdr:cNvPr id="5680" name="Line 176" descr="dimension arrow">
          <a:extLst>
            <a:ext uri="{FF2B5EF4-FFF2-40B4-BE49-F238E27FC236}">
              <a16:creationId xmlns:a16="http://schemas.microsoft.com/office/drawing/2014/main" id="{00000000-0008-0000-0100-000030160000}"/>
            </a:ext>
          </a:extLst>
        </xdr:cNvPr>
        <xdr:cNvSpPr>
          <a:spLocks noChangeShapeType="1"/>
        </xdr:cNvSpPr>
      </xdr:nvSpPr>
      <xdr:spPr bwMode="auto">
        <a:xfrm>
          <a:off x="7553325" y="2905125"/>
          <a:ext cx="295275" cy="0"/>
        </a:xfrm>
        <a:prstGeom prst="line">
          <a:avLst/>
        </a:prstGeom>
        <a:noFill/>
        <a:ln w="9525">
          <a:solidFill>
            <a:srgbClr val="000000"/>
          </a:solidFill>
          <a:round/>
          <a:headEnd/>
          <a:tailEnd type="triangle" w="med" len="med"/>
        </a:ln>
      </xdr:spPr>
    </xdr:sp>
    <xdr:clientData/>
  </xdr:twoCellAnchor>
  <xdr:twoCellAnchor>
    <xdr:from>
      <xdr:col>15</xdr:col>
      <xdr:colOff>28575</xdr:colOff>
      <xdr:row>15</xdr:row>
      <xdr:rowOff>85725</xdr:rowOff>
    </xdr:from>
    <xdr:to>
      <xdr:col>15</xdr:col>
      <xdr:colOff>304800</xdr:colOff>
      <xdr:row>15</xdr:row>
      <xdr:rowOff>85725</xdr:rowOff>
    </xdr:to>
    <xdr:sp macro="" textlink="">
      <xdr:nvSpPr>
        <xdr:cNvPr id="5681" name="Line 177" descr="dimension arrow">
          <a:extLst>
            <a:ext uri="{FF2B5EF4-FFF2-40B4-BE49-F238E27FC236}">
              <a16:creationId xmlns:a16="http://schemas.microsoft.com/office/drawing/2014/main" id="{00000000-0008-0000-0100-000031160000}"/>
            </a:ext>
          </a:extLst>
        </xdr:cNvPr>
        <xdr:cNvSpPr>
          <a:spLocks noChangeShapeType="1"/>
        </xdr:cNvSpPr>
      </xdr:nvSpPr>
      <xdr:spPr bwMode="auto">
        <a:xfrm>
          <a:off x="7562850" y="3924300"/>
          <a:ext cx="276225" cy="0"/>
        </a:xfrm>
        <a:prstGeom prst="line">
          <a:avLst/>
        </a:prstGeom>
        <a:noFill/>
        <a:ln w="9525">
          <a:solidFill>
            <a:srgbClr val="000000"/>
          </a:solidFill>
          <a:round/>
          <a:headEnd/>
          <a:tailEnd type="triangle" w="med" len="med"/>
        </a:ln>
      </xdr:spPr>
    </xdr:sp>
    <xdr:clientData/>
  </xdr:twoCellAnchor>
  <xdr:twoCellAnchor>
    <xdr:from>
      <xdr:col>15</xdr:col>
      <xdr:colOff>342900</xdr:colOff>
      <xdr:row>15</xdr:row>
      <xdr:rowOff>85725</xdr:rowOff>
    </xdr:from>
    <xdr:to>
      <xdr:col>16</xdr:col>
      <xdr:colOff>19050</xdr:colOff>
      <xdr:row>15</xdr:row>
      <xdr:rowOff>85725</xdr:rowOff>
    </xdr:to>
    <xdr:sp macro="" textlink="">
      <xdr:nvSpPr>
        <xdr:cNvPr id="5682" name="Line 178" descr="dimension arrow">
          <a:extLst>
            <a:ext uri="{FF2B5EF4-FFF2-40B4-BE49-F238E27FC236}">
              <a16:creationId xmlns:a16="http://schemas.microsoft.com/office/drawing/2014/main" id="{00000000-0008-0000-0100-000032160000}"/>
            </a:ext>
          </a:extLst>
        </xdr:cNvPr>
        <xdr:cNvSpPr>
          <a:spLocks noChangeShapeType="1"/>
        </xdr:cNvSpPr>
      </xdr:nvSpPr>
      <xdr:spPr bwMode="auto">
        <a:xfrm flipH="1">
          <a:off x="7877175" y="3924300"/>
          <a:ext cx="285750" cy="0"/>
        </a:xfrm>
        <a:prstGeom prst="line">
          <a:avLst/>
        </a:prstGeom>
        <a:noFill/>
        <a:ln w="9525">
          <a:solidFill>
            <a:srgbClr val="000000"/>
          </a:solidFill>
          <a:round/>
          <a:headEnd/>
          <a:tailEnd type="triangle" w="med" len="med"/>
        </a:ln>
      </xdr:spPr>
    </xdr:sp>
    <xdr:clientData/>
  </xdr:twoCellAnchor>
  <xdr:twoCellAnchor>
    <xdr:from>
      <xdr:col>16</xdr:col>
      <xdr:colOff>561975</xdr:colOff>
      <xdr:row>5</xdr:row>
      <xdr:rowOff>76200</xdr:rowOff>
    </xdr:from>
    <xdr:to>
      <xdr:col>17</xdr:col>
      <xdr:colOff>295275</xdr:colOff>
      <xdr:row>5</xdr:row>
      <xdr:rowOff>76200</xdr:rowOff>
    </xdr:to>
    <xdr:sp macro="" textlink="">
      <xdr:nvSpPr>
        <xdr:cNvPr id="5683" name="Line 179" descr="dimension arrow">
          <a:extLst>
            <a:ext uri="{FF2B5EF4-FFF2-40B4-BE49-F238E27FC236}">
              <a16:creationId xmlns:a16="http://schemas.microsoft.com/office/drawing/2014/main" id="{00000000-0008-0000-0100-000033160000}"/>
            </a:ext>
          </a:extLst>
        </xdr:cNvPr>
        <xdr:cNvSpPr>
          <a:spLocks noChangeShapeType="1"/>
        </xdr:cNvSpPr>
      </xdr:nvSpPr>
      <xdr:spPr bwMode="auto">
        <a:xfrm>
          <a:off x="8705850" y="2371725"/>
          <a:ext cx="342900" cy="0"/>
        </a:xfrm>
        <a:prstGeom prst="line">
          <a:avLst/>
        </a:prstGeom>
        <a:noFill/>
        <a:ln w="9525">
          <a:solidFill>
            <a:srgbClr val="000000"/>
          </a:solidFill>
          <a:round/>
          <a:headEnd/>
          <a:tailEnd type="triangle" w="med" len="med"/>
        </a:ln>
      </xdr:spPr>
    </xdr:sp>
    <xdr:clientData/>
  </xdr:twoCellAnchor>
  <xdr:twoCellAnchor>
    <xdr:from>
      <xdr:col>15</xdr:col>
      <xdr:colOff>323850</xdr:colOff>
      <xdr:row>5</xdr:row>
      <xdr:rowOff>76200</xdr:rowOff>
    </xdr:from>
    <xdr:to>
      <xdr:col>16</xdr:col>
      <xdr:colOff>47625</xdr:colOff>
      <xdr:row>5</xdr:row>
      <xdr:rowOff>76200</xdr:rowOff>
    </xdr:to>
    <xdr:sp macro="" textlink="">
      <xdr:nvSpPr>
        <xdr:cNvPr id="5684" name="Line 180" descr="dimension arrow">
          <a:extLst>
            <a:ext uri="{FF2B5EF4-FFF2-40B4-BE49-F238E27FC236}">
              <a16:creationId xmlns:a16="http://schemas.microsoft.com/office/drawing/2014/main" id="{00000000-0008-0000-0100-000034160000}"/>
            </a:ext>
          </a:extLst>
        </xdr:cNvPr>
        <xdr:cNvSpPr>
          <a:spLocks noChangeShapeType="1"/>
        </xdr:cNvSpPr>
      </xdr:nvSpPr>
      <xdr:spPr bwMode="auto">
        <a:xfrm flipH="1">
          <a:off x="7858125" y="2371725"/>
          <a:ext cx="333375" cy="0"/>
        </a:xfrm>
        <a:prstGeom prst="line">
          <a:avLst/>
        </a:prstGeom>
        <a:noFill/>
        <a:ln w="9525">
          <a:solidFill>
            <a:srgbClr val="000000"/>
          </a:solidFill>
          <a:round/>
          <a:headEnd/>
          <a:tailEnd type="triangle" w="med" len="med"/>
        </a:ln>
      </xdr:spPr>
    </xdr:sp>
    <xdr:clientData/>
  </xdr:twoCellAnchor>
  <xdr:twoCellAnchor>
    <xdr:from>
      <xdr:col>16</xdr:col>
      <xdr:colOff>304800</xdr:colOff>
      <xdr:row>10</xdr:row>
      <xdr:rowOff>66675</xdr:rowOff>
    </xdr:from>
    <xdr:to>
      <xdr:col>16</xdr:col>
      <xdr:colOff>304800</xdr:colOff>
      <xdr:row>11</xdr:row>
      <xdr:rowOff>123825</xdr:rowOff>
    </xdr:to>
    <xdr:sp macro="" textlink="">
      <xdr:nvSpPr>
        <xdr:cNvPr id="5685" name="Line 181" descr="dimension arrow">
          <a:extLst>
            <a:ext uri="{FF2B5EF4-FFF2-40B4-BE49-F238E27FC236}">
              <a16:creationId xmlns:a16="http://schemas.microsoft.com/office/drawing/2014/main" id="{00000000-0008-0000-0100-000035160000}"/>
            </a:ext>
          </a:extLst>
        </xdr:cNvPr>
        <xdr:cNvSpPr>
          <a:spLocks noChangeShapeType="1"/>
        </xdr:cNvSpPr>
      </xdr:nvSpPr>
      <xdr:spPr bwMode="auto">
        <a:xfrm flipH="1">
          <a:off x="8448675" y="3048000"/>
          <a:ext cx="0" cy="228600"/>
        </a:xfrm>
        <a:prstGeom prst="line">
          <a:avLst/>
        </a:prstGeom>
        <a:noFill/>
        <a:ln w="9525">
          <a:solidFill>
            <a:srgbClr val="000000"/>
          </a:solidFill>
          <a:round/>
          <a:headEnd/>
          <a:tailEnd type="triangle" w="med" len="med"/>
        </a:ln>
      </xdr:spPr>
    </xdr:sp>
    <xdr:clientData/>
  </xdr:twoCellAnchor>
  <xdr:twoCellAnchor>
    <xdr:from>
      <xdr:col>16</xdr:col>
      <xdr:colOff>304800</xdr:colOff>
      <xdr:row>13</xdr:row>
      <xdr:rowOff>47625</xdr:rowOff>
    </xdr:from>
    <xdr:to>
      <xdr:col>16</xdr:col>
      <xdr:colOff>304800</xdr:colOff>
      <xdr:row>16</xdr:row>
      <xdr:rowOff>19050</xdr:rowOff>
    </xdr:to>
    <xdr:sp macro="" textlink="">
      <xdr:nvSpPr>
        <xdr:cNvPr id="5686" name="Line 182" descr="dimension arrow">
          <a:extLst>
            <a:ext uri="{FF2B5EF4-FFF2-40B4-BE49-F238E27FC236}">
              <a16:creationId xmlns:a16="http://schemas.microsoft.com/office/drawing/2014/main" id="{00000000-0008-0000-0100-000036160000}"/>
            </a:ext>
          </a:extLst>
        </xdr:cNvPr>
        <xdr:cNvSpPr>
          <a:spLocks noChangeShapeType="1"/>
        </xdr:cNvSpPr>
      </xdr:nvSpPr>
      <xdr:spPr bwMode="auto">
        <a:xfrm flipH="1" flipV="1">
          <a:off x="8448675" y="3543300"/>
          <a:ext cx="0" cy="485775"/>
        </a:xfrm>
        <a:prstGeom prst="line">
          <a:avLst/>
        </a:prstGeom>
        <a:noFill/>
        <a:ln w="9525">
          <a:solidFill>
            <a:srgbClr val="000000"/>
          </a:solidFill>
          <a:round/>
          <a:headEnd/>
          <a:tailEnd type="triangle" w="med" len="med"/>
        </a:ln>
      </xdr:spPr>
    </xdr:sp>
    <xdr:clientData/>
  </xdr:twoCellAnchor>
  <xdr:twoCellAnchor>
    <xdr:from>
      <xdr:col>18</xdr:col>
      <xdr:colOff>285750</xdr:colOff>
      <xdr:row>13</xdr:row>
      <xdr:rowOff>9525</xdr:rowOff>
    </xdr:from>
    <xdr:to>
      <xdr:col>18</xdr:col>
      <xdr:colOff>285750</xdr:colOff>
      <xdr:row>16</xdr:row>
      <xdr:rowOff>85725</xdr:rowOff>
    </xdr:to>
    <xdr:sp macro="" textlink="">
      <xdr:nvSpPr>
        <xdr:cNvPr id="5687" name="Line 183" descr="dimension arrow">
          <a:extLst>
            <a:ext uri="{FF2B5EF4-FFF2-40B4-BE49-F238E27FC236}">
              <a16:creationId xmlns:a16="http://schemas.microsoft.com/office/drawing/2014/main" id="{00000000-0008-0000-0100-000037160000}"/>
            </a:ext>
          </a:extLst>
        </xdr:cNvPr>
        <xdr:cNvSpPr>
          <a:spLocks noChangeShapeType="1"/>
        </xdr:cNvSpPr>
      </xdr:nvSpPr>
      <xdr:spPr bwMode="auto">
        <a:xfrm flipH="1">
          <a:off x="9648825" y="3505200"/>
          <a:ext cx="0" cy="590550"/>
        </a:xfrm>
        <a:prstGeom prst="line">
          <a:avLst/>
        </a:prstGeom>
        <a:noFill/>
        <a:ln w="9525">
          <a:solidFill>
            <a:srgbClr val="000000"/>
          </a:solidFill>
          <a:round/>
          <a:headEnd/>
          <a:tailEnd type="triangle" w="med" len="med"/>
        </a:ln>
      </xdr:spPr>
    </xdr:sp>
    <xdr:clientData/>
  </xdr:twoCellAnchor>
  <xdr:twoCellAnchor>
    <xdr:from>
      <xdr:col>18</xdr:col>
      <xdr:colOff>285750</xdr:colOff>
      <xdr:row>7</xdr:row>
      <xdr:rowOff>85725</xdr:rowOff>
    </xdr:from>
    <xdr:to>
      <xdr:col>18</xdr:col>
      <xdr:colOff>285750</xdr:colOff>
      <xdr:row>11</xdr:row>
      <xdr:rowOff>152400</xdr:rowOff>
    </xdr:to>
    <xdr:sp macro="" textlink="">
      <xdr:nvSpPr>
        <xdr:cNvPr id="5688" name="Line 184" descr="dimension arrow">
          <a:extLst>
            <a:ext uri="{FF2B5EF4-FFF2-40B4-BE49-F238E27FC236}">
              <a16:creationId xmlns:a16="http://schemas.microsoft.com/office/drawing/2014/main" id="{00000000-0008-0000-0100-000038160000}"/>
            </a:ext>
          </a:extLst>
        </xdr:cNvPr>
        <xdr:cNvSpPr>
          <a:spLocks noChangeShapeType="1"/>
        </xdr:cNvSpPr>
      </xdr:nvSpPr>
      <xdr:spPr bwMode="auto">
        <a:xfrm flipH="1" flipV="1">
          <a:off x="9648825" y="2724150"/>
          <a:ext cx="0" cy="581025"/>
        </a:xfrm>
        <a:prstGeom prst="line">
          <a:avLst/>
        </a:prstGeom>
        <a:noFill/>
        <a:ln w="9525">
          <a:solidFill>
            <a:srgbClr val="000000"/>
          </a:solidFill>
          <a:round/>
          <a:headEnd/>
          <a:tailEnd type="triangle" w="med" len="med"/>
        </a:ln>
      </xdr:spPr>
    </xdr:sp>
    <xdr:clientData/>
  </xdr:twoCellAnchor>
  <xdr:twoCellAnchor>
    <xdr:from>
      <xdr:col>17</xdr:col>
      <xdr:colOff>304800</xdr:colOff>
      <xdr:row>5</xdr:row>
      <xdr:rowOff>0</xdr:rowOff>
    </xdr:from>
    <xdr:to>
      <xdr:col>17</xdr:col>
      <xdr:colOff>304800</xdr:colOff>
      <xdr:row>7</xdr:row>
      <xdr:rowOff>38100</xdr:rowOff>
    </xdr:to>
    <xdr:sp macro="" textlink="">
      <xdr:nvSpPr>
        <xdr:cNvPr id="5689" name="Line 22" descr="dimension arrow">
          <a:extLst>
            <a:ext uri="{FF2B5EF4-FFF2-40B4-BE49-F238E27FC236}">
              <a16:creationId xmlns:a16="http://schemas.microsoft.com/office/drawing/2014/main" id="{00000000-0008-0000-0100-000039160000}"/>
            </a:ext>
          </a:extLst>
        </xdr:cNvPr>
        <xdr:cNvSpPr>
          <a:spLocks noChangeShapeType="1"/>
        </xdr:cNvSpPr>
      </xdr:nvSpPr>
      <xdr:spPr bwMode="auto">
        <a:xfrm flipH="1">
          <a:off x="9058275" y="2295525"/>
          <a:ext cx="0" cy="381000"/>
        </a:xfrm>
        <a:prstGeom prst="line">
          <a:avLst/>
        </a:prstGeom>
        <a:noFill/>
        <a:ln w="12700">
          <a:solidFill>
            <a:srgbClr val="000000"/>
          </a:solidFill>
          <a:round/>
          <a:headEnd/>
          <a:tailEnd/>
        </a:ln>
      </xdr:spPr>
    </xdr:sp>
    <xdr:clientData/>
  </xdr:twoCellAnchor>
  <xdr:twoCellAnchor>
    <xdr:from>
      <xdr:col>15</xdr:col>
      <xdr:colOff>314325</xdr:colOff>
      <xdr:row>5</xdr:row>
      <xdr:rowOff>0</xdr:rowOff>
    </xdr:from>
    <xdr:to>
      <xdr:col>15</xdr:col>
      <xdr:colOff>314325</xdr:colOff>
      <xdr:row>7</xdr:row>
      <xdr:rowOff>38100</xdr:rowOff>
    </xdr:to>
    <xdr:sp macro="" textlink="">
      <xdr:nvSpPr>
        <xdr:cNvPr id="5690" name="Line 22" descr="dimension arrow">
          <a:extLst>
            <a:ext uri="{FF2B5EF4-FFF2-40B4-BE49-F238E27FC236}">
              <a16:creationId xmlns:a16="http://schemas.microsoft.com/office/drawing/2014/main" id="{00000000-0008-0000-0100-00003A160000}"/>
            </a:ext>
          </a:extLst>
        </xdr:cNvPr>
        <xdr:cNvSpPr>
          <a:spLocks noChangeShapeType="1"/>
        </xdr:cNvSpPr>
      </xdr:nvSpPr>
      <xdr:spPr bwMode="auto">
        <a:xfrm flipH="1">
          <a:off x="7848600" y="2295525"/>
          <a:ext cx="0" cy="381000"/>
        </a:xfrm>
        <a:prstGeom prst="line">
          <a:avLst/>
        </a:prstGeom>
        <a:noFill/>
        <a:ln w="12700">
          <a:solidFill>
            <a:srgbClr val="000000"/>
          </a:solidFill>
          <a:round/>
          <a:headEnd/>
          <a:tailEnd/>
        </a:ln>
      </xdr:spPr>
    </xdr:sp>
    <xdr:clientData/>
  </xdr:twoCellAnchor>
  <xdr:twoCellAnchor>
    <xdr:from>
      <xdr:col>17</xdr:col>
      <xdr:colOff>352425</xdr:colOff>
      <xdr:row>7</xdr:row>
      <xdr:rowOff>95250</xdr:rowOff>
    </xdr:from>
    <xdr:to>
      <xdr:col>18</xdr:col>
      <xdr:colOff>361950</xdr:colOff>
      <xdr:row>7</xdr:row>
      <xdr:rowOff>95250</xdr:rowOff>
    </xdr:to>
    <xdr:sp macro="" textlink="">
      <xdr:nvSpPr>
        <xdr:cNvPr id="5691" name="Line 22" descr="dimension arrow">
          <a:extLst>
            <a:ext uri="{FF2B5EF4-FFF2-40B4-BE49-F238E27FC236}">
              <a16:creationId xmlns:a16="http://schemas.microsoft.com/office/drawing/2014/main" id="{00000000-0008-0000-0100-00003B160000}"/>
            </a:ext>
          </a:extLst>
        </xdr:cNvPr>
        <xdr:cNvSpPr>
          <a:spLocks noChangeShapeType="1"/>
        </xdr:cNvSpPr>
      </xdr:nvSpPr>
      <xdr:spPr bwMode="auto">
        <a:xfrm flipH="1">
          <a:off x="9105900" y="2733675"/>
          <a:ext cx="619125" cy="0"/>
        </a:xfrm>
        <a:prstGeom prst="line">
          <a:avLst/>
        </a:prstGeom>
        <a:noFill/>
        <a:ln w="12700">
          <a:solidFill>
            <a:srgbClr val="000000"/>
          </a:solidFill>
          <a:round/>
          <a:headEnd/>
          <a:tailEnd/>
        </a:ln>
      </xdr:spPr>
    </xdr:sp>
    <xdr:clientData/>
  </xdr:twoCellAnchor>
  <xdr:twoCellAnchor>
    <xdr:from>
      <xdr:col>17</xdr:col>
      <xdr:colOff>352425</xdr:colOff>
      <xdr:row>16</xdr:row>
      <xdr:rowOff>85725</xdr:rowOff>
    </xdr:from>
    <xdr:to>
      <xdr:col>18</xdr:col>
      <xdr:colOff>361950</xdr:colOff>
      <xdr:row>16</xdr:row>
      <xdr:rowOff>85725</xdr:rowOff>
    </xdr:to>
    <xdr:sp macro="" textlink="">
      <xdr:nvSpPr>
        <xdr:cNvPr id="5692" name="Line 22" descr="dimension arrow">
          <a:extLst>
            <a:ext uri="{FF2B5EF4-FFF2-40B4-BE49-F238E27FC236}">
              <a16:creationId xmlns:a16="http://schemas.microsoft.com/office/drawing/2014/main" id="{00000000-0008-0000-0100-00003C160000}"/>
            </a:ext>
          </a:extLst>
        </xdr:cNvPr>
        <xdr:cNvSpPr>
          <a:spLocks noChangeShapeType="1"/>
        </xdr:cNvSpPr>
      </xdr:nvSpPr>
      <xdr:spPr bwMode="auto">
        <a:xfrm flipH="1">
          <a:off x="9105900" y="4095750"/>
          <a:ext cx="619125" cy="0"/>
        </a:xfrm>
        <a:prstGeom prst="line">
          <a:avLst/>
        </a:prstGeom>
        <a:noFill/>
        <a:ln w="12700">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60960</xdr:colOff>
          <xdr:row>31</xdr:row>
          <xdr:rowOff>144780</xdr:rowOff>
        </xdr:from>
        <xdr:to>
          <xdr:col>5</xdr:col>
          <xdr:colOff>556260</xdr:colOff>
          <xdr:row>34</xdr:row>
          <xdr:rowOff>160020</xdr:rowOff>
        </xdr:to>
        <xdr:sp macro="" textlink="">
          <xdr:nvSpPr>
            <xdr:cNvPr id="5693" name="CommandButton1" descr="command button" hidden="1">
              <a:extLst>
                <a:ext uri="{63B3BB69-23CF-44E3-9099-C40C66FF867C}">
                  <a14:compatExt spid="_x0000_s5693"/>
                </a:ext>
                <a:ext uri="{FF2B5EF4-FFF2-40B4-BE49-F238E27FC236}">
                  <a16:creationId xmlns:a16="http://schemas.microsoft.com/office/drawing/2014/main" id="{00000000-0008-0000-0100-00003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6350</xdr:colOff>
      <xdr:row>61</xdr:row>
      <xdr:rowOff>101600</xdr:rowOff>
    </xdr:from>
    <xdr:to>
      <xdr:col>14</xdr:col>
      <xdr:colOff>254000</xdr:colOff>
      <xdr:row>61</xdr:row>
      <xdr:rowOff>107950</xdr:rowOff>
    </xdr:to>
    <xdr:cxnSp macro="">
      <xdr:nvCxnSpPr>
        <xdr:cNvPr id="3" name="Straight Arrow Connector 2" descr="dimension arrow">
          <a:extLst>
            <a:ext uri="{FF2B5EF4-FFF2-40B4-BE49-F238E27FC236}">
              <a16:creationId xmlns:a16="http://schemas.microsoft.com/office/drawing/2014/main" id="{00000000-0008-0000-0100-000003000000}"/>
            </a:ext>
          </a:extLst>
        </xdr:cNvPr>
        <xdr:cNvCxnSpPr/>
      </xdr:nvCxnSpPr>
      <xdr:spPr>
        <a:xfrm flipH="1">
          <a:off x="6057900" y="10299700"/>
          <a:ext cx="1428750" cy="6350"/>
        </a:xfrm>
        <a:prstGeom prst="straightConnector1">
          <a:avLst/>
        </a:prstGeom>
        <a:ln>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368300</xdr:colOff>
      <xdr:row>61</xdr:row>
      <xdr:rowOff>101600</xdr:rowOff>
    </xdr:from>
    <xdr:to>
      <xdr:col>17</xdr:col>
      <xdr:colOff>603250</xdr:colOff>
      <xdr:row>61</xdr:row>
      <xdr:rowOff>107950</xdr:rowOff>
    </xdr:to>
    <xdr:cxnSp macro="">
      <xdr:nvCxnSpPr>
        <xdr:cNvPr id="7" name="Straight Arrow Connector 6" descr="dimension arrow">
          <a:extLst>
            <a:ext uri="{FF2B5EF4-FFF2-40B4-BE49-F238E27FC236}">
              <a16:creationId xmlns:a16="http://schemas.microsoft.com/office/drawing/2014/main" id="{00000000-0008-0000-0100-000007000000}"/>
            </a:ext>
          </a:extLst>
        </xdr:cNvPr>
        <xdr:cNvCxnSpPr/>
      </xdr:nvCxnSpPr>
      <xdr:spPr>
        <a:xfrm>
          <a:off x="8210550" y="10299700"/>
          <a:ext cx="1454150" cy="6350"/>
        </a:xfrm>
        <a:prstGeom prst="straightConnector1">
          <a:avLst/>
        </a:prstGeom>
        <a:ln>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469900</xdr:colOff>
      <xdr:row>43</xdr:row>
      <xdr:rowOff>165100</xdr:rowOff>
    </xdr:from>
    <xdr:to>
      <xdr:col>17</xdr:col>
      <xdr:colOff>469900</xdr:colOff>
      <xdr:row>52</xdr:row>
      <xdr:rowOff>139700</xdr:rowOff>
    </xdr:to>
    <xdr:cxnSp macro="">
      <xdr:nvCxnSpPr>
        <xdr:cNvPr id="12" name="Straight Arrow Connector 11" descr="dimension arrow">
          <a:extLst>
            <a:ext uri="{FF2B5EF4-FFF2-40B4-BE49-F238E27FC236}">
              <a16:creationId xmlns:a16="http://schemas.microsoft.com/office/drawing/2014/main" id="{00000000-0008-0000-0100-00000C000000}"/>
            </a:ext>
          </a:extLst>
        </xdr:cNvPr>
        <xdr:cNvCxnSpPr/>
      </xdr:nvCxnSpPr>
      <xdr:spPr>
        <a:xfrm>
          <a:off x="9531350" y="7264400"/>
          <a:ext cx="0" cy="153035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476250</xdr:colOff>
      <xdr:row>54</xdr:row>
      <xdr:rowOff>38100</xdr:rowOff>
    </xdr:from>
    <xdr:to>
      <xdr:col>17</xdr:col>
      <xdr:colOff>482600</xdr:colOff>
      <xdr:row>60</xdr:row>
      <xdr:rowOff>152400</xdr:rowOff>
    </xdr:to>
    <xdr:cxnSp macro="">
      <xdr:nvCxnSpPr>
        <xdr:cNvPr id="48" name="Straight Arrow Connector 47" descr="dimension arrow">
          <a:extLst>
            <a:ext uri="{FF2B5EF4-FFF2-40B4-BE49-F238E27FC236}">
              <a16:creationId xmlns:a16="http://schemas.microsoft.com/office/drawing/2014/main" id="{00000000-0008-0000-0100-000030000000}"/>
            </a:ext>
          </a:extLst>
        </xdr:cNvPr>
        <xdr:cNvCxnSpPr/>
      </xdr:nvCxnSpPr>
      <xdr:spPr>
        <a:xfrm>
          <a:off x="9537700" y="9036050"/>
          <a:ext cx="6350" cy="1143000"/>
        </a:xfrm>
        <a:prstGeom prst="straightConnector1">
          <a:avLst/>
        </a:prstGeom>
        <a:ln>
          <a:prstDash val="sysDash"/>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46</xdr:row>
      <xdr:rowOff>101600</xdr:rowOff>
    </xdr:from>
    <xdr:to>
      <xdr:col>14</xdr:col>
      <xdr:colOff>368300</xdr:colOff>
      <xdr:row>46</xdr:row>
      <xdr:rowOff>101600</xdr:rowOff>
    </xdr:to>
    <xdr:cxnSp macro="">
      <xdr:nvCxnSpPr>
        <xdr:cNvPr id="54" name="Straight Arrow Connector 53" descr="dimension arrow">
          <a:extLst>
            <a:ext uri="{FF2B5EF4-FFF2-40B4-BE49-F238E27FC236}">
              <a16:creationId xmlns:a16="http://schemas.microsoft.com/office/drawing/2014/main" id="{00000000-0008-0000-0100-000036000000}"/>
            </a:ext>
          </a:extLst>
        </xdr:cNvPr>
        <xdr:cNvCxnSpPr/>
      </xdr:nvCxnSpPr>
      <xdr:spPr>
        <a:xfrm>
          <a:off x="6661150" y="7727950"/>
          <a:ext cx="939800" cy="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48</xdr:row>
      <xdr:rowOff>76200</xdr:rowOff>
    </xdr:from>
    <xdr:to>
      <xdr:col>14</xdr:col>
      <xdr:colOff>342900</xdr:colOff>
      <xdr:row>48</xdr:row>
      <xdr:rowOff>82550</xdr:rowOff>
    </xdr:to>
    <xdr:cxnSp macro="">
      <xdr:nvCxnSpPr>
        <xdr:cNvPr id="58" name="Straight Arrow Connector 57" descr="dimension arrow">
          <a:extLst>
            <a:ext uri="{FF2B5EF4-FFF2-40B4-BE49-F238E27FC236}">
              <a16:creationId xmlns:a16="http://schemas.microsoft.com/office/drawing/2014/main" id="{00000000-0008-0000-0100-00003A000000}"/>
            </a:ext>
          </a:extLst>
        </xdr:cNvPr>
        <xdr:cNvCxnSpPr/>
      </xdr:nvCxnSpPr>
      <xdr:spPr>
        <a:xfrm flipV="1">
          <a:off x="7232650" y="8045450"/>
          <a:ext cx="342900" cy="635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266700</xdr:colOff>
      <xdr:row>46</xdr:row>
      <xdr:rowOff>95250</xdr:rowOff>
    </xdr:from>
    <xdr:to>
      <xdr:col>16</xdr:col>
      <xdr:colOff>596900</xdr:colOff>
      <xdr:row>46</xdr:row>
      <xdr:rowOff>107950</xdr:rowOff>
    </xdr:to>
    <xdr:cxnSp macro="">
      <xdr:nvCxnSpPr>
        <xdr:cNvPr id="60" name="Straight Arrow Connector 59" descr="dimension arrow">
          <a:extLst>
            <a:ext uri="{FF2B5EF4-FFF2-40B4-BE49-F238E27FC236}">
              <a16:creationId xmlns:a16="http://schemas.microsoft.com/office/drawing/2014/main" id="{00000000-0008-0000-0100-00003C000000}"/>
            </a:ext>
          </a:extLst>
        </xdr:cNvPr>
        <xdr:cNvCxnSpPr/>
      </xdr:nvCxnSpPr>
      <xdr:spPr>
        <a:xfrm>
          <a:off x="8108950" y="7721600"/>
          <a:ext cx="939800" cy="12700"/>
        </a:xfrm>
        <a:prstGeom prst="straightConnector1">
          <a:avLst/>
        </a:prstGeom>
        <a:ln>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177800</xdr:colOff>
      <xdr:row>46</xdr:row>
      <xdr:rowOff>0</xdr:rowOff>
    </xdr:from>
    <xdr:to>
      <xdr:col>6</xdr:col>
      <xdr:colOff>190500</xdr:colOff>
      <xdr:row>51</xdr:row>
      <xdr:rowOff>127000</xdr:rowOff>
    </xdr:to>
    <xdr:cxnSp macro="">
      <xdr:nvCxnSpPr>
        <xdr:cNvPr id="62" name="Straight Arrow Connector 61" descr="dimension arrow">
          <a:extLst>
            <a:ext uri="{FF2B5EF4-FFF2-40B4-BE49-F238E27FC236}">
              <a16:creationId xmlns:a16="http://schemas.microsoft.com/office/drawing/2014/main" id="{00000000-0008-0000-0100-00003E000000}"/>
            </a:ext>
          </a:extLst>
        </xdr:cNvPr>
        <xdr:cNvCxnSpPr/>
      </xdr:nvCxnSpPr>
      <xdr:spPr>
        <a:xfrm>
          <a:off x="6838950" y="7626350"/>
          <a:ext cx="12700" cy="98425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203200</xdr:colOff>
      <xdr:row>53</xdr:row>
      <xdr:rowOff>25400</xdr:rowOff>
    </xdr:from>
    <xdr:to>
      <xdr:col>6</xdr:col>
      <xdr:colOff>209550</xdr:colOff>
      <xdr:row>59</xdr:row>
      <xdr:rowOff>0</xdr:rowOff>
    </xdr:to>
    <xdr:cxnSp macro="">
      <xdr:nvCxnSpPr>
        <xdr:cNvPr id="64" name="Straight Arrow Connector 63" descr="dimension arrow">
          <a:extLst>
            <a:ext uri="{FF2B5EF4-FFF2-40B4-BE49-F238E27FC236}">
              <a16:creationId xmlns:a16="http://schemas.microsoft.com/office/drawing/2014/main" id="{00000000-0008-0000-0100-000040000000}"/>
            </a:ext>
          </a:extLst>
        </xdr:cNvPr>
        <xdr:cNvCxnSpPr/>
      </xdr:nvCxnSpPr>
      <xdr:spPr>
        <a:xfrm>
          <a:off x="6864350" y="8851900"/>
          <a:ext cx="6350" cy="1003300"/>
        </a:xfrm>
        <a:prstGeom prst="straightConnector1">
          <a:avLst/>
        </a:prstGeom>
        <a:ln>
          <a:prstDash val="sysDash"/>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234950</xdr:colOff>
      <xdr:row>48</xdr:row>
      <xdr:rowOff>88900</xdr:rowOff>
    </xdr:from>
    <xdr:to>
      <xdr:col>16</xdr:col>
      <xdr:colOff>0</xdr:colOff>
      <xdr:row>48</xdr:row>
      <xdr:rowOff>88900</xdr:rowOff>
    </xdr:to>
    <xdr:cxnSp macro="">
      <xdr:nvCxnSpPr>
        <xdr:cNvPr id="66" name="Straight Arrow Connector 65" descr="dimension arrow">
          <a:extLst>
            <a:ext uri="{FF2B5EF4-FFF2-40B4-BE49-F238E27FC236}">
              <a16:creationId xmlns:a16="http://schemas.microsoft.com/office/drawing/2014/main" id="{00000000-0008-0000-0100-000042000000}"/>
            </a:ext>
          </a:extLst>
        </xdr:cNvPr>
        <xdr:cNvCxnSpPr/>
      </xdr:nvCxnSpPr>
      <xdr:spPr>
        <a:xfrm flipH="1">
          <a:off x="8077200" y="8058150"/>
          <a:ext cx="374650" cy="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31750</xdr:colOff>
      <xdr:row>56</xdr:row>
      <xdr:rowOff>0</xdr:rowOff>
    </xdr:from>
    <xdr:to>
      <xdr:col>16</xdr:col>
      <xdr:colOff>266700</xdr:colOff>
      <xdr:row>56</xdr:row>
      <xdr:rowOff>0</xdr:rowOff>
    </xdr:to>
    <xdr:cxnSp macro="">
      <xdr:nvCxnSpPr>
        <xdr:cNvPr id="31" name="Straight Connector 30" descr="dimension arrow">
          <a:extLst>
            <a:ext uri="{FF2B5EF4-FFF2-40B4-BE49-F238E27FC236}">
              <a16:creationId xmlns:a16="http://schemas.microsoft.com/office/drawing/2014/main" id="{00000000-0008-0000-0100-00001F000000}"/>
            </a:ext>
          </a:extLst>
        </xdr:cNvPr>
        <xdr:cNvCxnSpPr/>
      </xdr:nvCxnSpPr>
      <xdr:spPr>
        <a:xfrm>
          <a:off x="8483600" y="9340850"/>
          <a:ext cx="234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49</xdr:row>
      <xdr:rowOff>6350</xdr:rowOff>
    </xdr:from>
    <xdr:to>
      <xdr:col>16</xdr:col>
      <xdr:colOff>273050</xdr:colOff>
      <xdr:row>49</xdr:row>
      <xdr:rowOff>6350</xdr:rowOff>
    </xdr:to>
    <xdr:cxnSp macro="">
      <xdr:nvCxnSpPr>
        <xdr:cNvPr id="73" name="Straight Connector 72" descr="dimension arrow">
          <a:extLst>
            <a:ext uri="{FF2B5EF4-FFF2-40B4-BE49-F238E27FC236}">
              <a16:creationId xmlns:a16="http://schemas.microsoft.com/office/drawing/2014/main" id="{00000000-0008-0000-0100-000049000000}"/>
            </a:ext>
          </a:extLst>
        </xdr:cNvPr>
        <xdr:cNvCxnSpPr/>
      </xdr:nvCxnSpPr>
      <xdr:spPr>
        <a:xfrm>
          <a:off x="8489950" y="8147050"/>
          <a:ext cx="234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49</xdr:row>
      <xdr:rowOff>6350</xdr:rowOff>
    </xdr:from>
    <xdr:to>
      <xdr:col>16</xdr:col>
      <xdr:colOff>177800</xdr:colOff>
      <xdr:row>51</xdr:row>
      <xdr:rowOff>127000</xdr:rowOff>
    </xdr:to>
    <xdr:cxnSp macro="">
      <xdr:nvCxnSpPr>
        <xdr:cNvPr id="74" name="Straight Arrow Connector 73" descr="dimension arrow">
          <a:extLst>
            <a:ext uri="{FF2B5EF4-FFF2-40B4-BE49-F238E27FC236}">
              <a16:creationId xmlns:a16="http://schemas.microsoft.com/office/drawing/2014/main" id="{00000000-0008-0000-0100-00004A000000}"/>
            </a:ext>
          </a:extLst>
        </xdr:cNvPr>
        <xdr:cNvCxnSpPr/>
      </xdr:nvCxnSpPr>
      <xdr:spPr>
        <a:xfrm flipH="1">
          <a:off x="8623300" y="8147050"/>
          <a:ext cx="6350" cy="463550"/>
        </a:xfrm>
        <a:prstGeom prst="straightConnector1">
          <a:avLst/>
        </a:prstGeom>
        <a:ln>
          <a:prstDash val="sysDash"/>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171450</xdr:colOff>
      <xdr:row>53</xdr:row>
      <xdr:rowOff>12700</xdr:rowOff>
    </xdr:from>
    <xdr:to>
      <xdr:col>16</xdr:col>
      <xdr:colOff>177800</xdr:colOff>
      <xdr:row>56</xdr:row>
      <xdr:rowOff>6350</xdr:rowOff>
    </xdr:to>
    <xdr:cxnSp macro="">
      <xdr:nvCxnSpPr>
        <xdr:cNvPr id="76" name="Straight Arrow Connector 75" descr="dimension arrow">
          <a:extLst>
            <a:ext uri="{FF2B5EF4-FFF2-40B4-BE49-F238E27FC236}">
              <a16:creationId xmlns:a16="http://schemas.microsoft.com/office/drawing/2014/main" id="{00000000-0008-0000-0100-00004C000000}"/>
            </a:ext>
          </a:extLst>
        </xdr:cNvPr>
        <xdr:cNvCxnSpPr/>
      </xdr:nvCxnSpPr>
      <xdr:spPr>
        <a:xfrm flipH="1">
          <a:off x="8623300" y="8839200"/>
          <a:ext cx="6350" cy="508000"/>
        </a:xfrm>
        <a:prstGeom prst="straightConnector1">
          <a:avLst/>
        </a:prstGeom>
        <a:ln>
          <a:prstDash val="sysDash"/>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faa.gov/documentLibrary/media/Advisory_Circular/150_5390_2c.pdf" TargetMode="External"/><Relationship Id="rId7" Type="http://schemas.openxmlformats.org/officeDocument/2006/relationships/drawing" Target="../drawings/drawing1.xml"/><Relationship Id="rId2" Type="http://schemas.openxmlformats.org/officeDocument/2006/relationships/hyperlink" Target="mailto:thayer.rabei@faa.gov,%20mark.e.fox@faa.gov" TargetMode="External"/><Relationship Id="rId1" Type="http://schemas.openxmlformats.org/officeDocument/2006/relationships/hyperlink" Target="mailto:jim.carman@faa.gov" TargetMode="External"/><Relationship Id="rId6" Type="http://schemas.openxmlformats.org/officeDocument/2006/relationships/printerSettings" Target="../printerSettings/printerSettings2.bin"/><Relationship Id="rId11" Type="http://schemas.openxmlformats.org/officeDocument/2006/relationships/comments" Target="../comments1.xml"/><Relationship Id="rId5" Type="http://schemas.openxmlformats.org/officeDocument/2006/relationships/hyperlink" Target="https://www.faa.gov/airports/resources/advisory_circulars/index.cfm/go/document.current/documentnumber/150_5390-2" TargetMode="External"/><Relationship Id="rId10" Type="http://schemas.openxmlformats.org/officeDocument/2006/relationships/image" Target="../media/image1.emf"/><Relationship Id="rId4" Type="http://schemas.openxmlformats.org/officeDocument/2006/relationships/hyperlink" Target="mailto:jim.carman@faa.gov" TargetMode="External"/><Relationship Id="rId9"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47"/>
  <sheetViews>
    <sheetView topLeftCell="A2" zoomScale="120" zoomScaleNormal="120" workbookViewId="0">
      <selection activeCell="A21" sqref="A21"/>
    </sheetView>
  </sheetViews>
  <sheetFormatPr defaultColWidth="118.88671875" defaultRowHeight="13.2" x14ac:dyDescent="0.25"/>
  <cols>
    <col min="1" max="1" width="168.109375" style="80" customWidth="1"/>
    <col min="2" max="16384" width="118.88671875" style="80"/>
  </cols>
  <sheetData>
    <row r="1" spans="1:1" ht="24" customHeight="1" x14ac:dyDescent="0.25">
      <c r="A1" s="202" t="s">
        <v>947</v>
      </c>
    </row>
    <row r="2" spans="1:1" ht="63.75" customHeight="1" x14ac:dyDescent="0.25">
      <c r="A2" s="203" t="s">
        <v>951</v>
      </c>
    </row>
    <row r="3" spans="1:1" x14ac:dyDescent="0.25">
      <c r="A3" s="204"/>
    </row>
    <row r="4" spans="1:1" s="168" customFormat="1" ht="30.6" x14ac:dyDescent="0.25">
      <c r="A4" s="205" t="s">
        <v>956</v>
      </c>
    </row>
    <row r="5" spans="1:1" x14ac:dyDescent="0.25">
      <c r="A5" s="204"/>
    </row>
    <row r="6" spans="1:1" ht="15.6" x14ac:dyDescent="0.3">
      <c r="A6" s="206" t="s">
        <v>917</v>
      </c>
    </row>
    <row r="7" spans="1:1" ht="15" x14ac:dyDescent="0.25">
      <c r="A7" s="207"/>
    </row>
    <row r="8" spans="1:1" ht="31.5" customHeight="1" x14ac:dyDescent="0.25">
      <c r="A8" s="203" t="s">
        <v>934</v>
      </c>
    </row>
    <row r="9" spans="1:1" ht="15" x14ac:dyDescent="0.25">
      <c r="A9" s="207"/>
    </row>
    <row r="10" spans="1:1" ht="15" x14ac:dyDescent="0.25">
      <c r="A10" s="205" t="s">
        <v>944</v>
      </c>
    </row>
    <row r="11" spans="1:1" ht="15" x14ac:dyDescent="0.25">
      <c r="A11" s="207"/>
    </row>
    <row r="12" spans="1:1" ht="15" x14ac:dyDescent="0.25">
      <c r="A12" s="205" t="s">
        <v>946</v>
      </c>
    </row>
    <row r="13" spans="1:1" x14ac:dyDescent="0.25">
      <c r="A13" s="204"/>
    </row>
    <row r="14" spans="1:1" s="169" customFormat="1" ht="45" x14ac:dyDescent="0.25">
      <c r="A14" s="208" t="s">
        <v>953</v>
      </c>
    </row>
    <row r="15" spans="1:1" ht="66" customHeight="1" x14ac:dyDescent="0.25">
      <c r="A15" s="208" t="s">
        <v>935</v>
      </c>
    </row>
    <row r="17" spans="1:1" ht="30" x14ac:dyDescent="0.25">
      <c r="A17" s="172" t="s">
        <v>769</v>
      </c>
    </row>
    <row r="18" spans="1:1" ht="15" x14ac:dyDescent="0.25">
      <c r="A18" s="172"/>
    </row>
    <row r="19" spans="1:1" ht="45" x14ac:dyDescent="0.25">
      <c r="A19" s="168" t="s">
        <v>937</v>
      </c>
    </row>
    <row r="20" spans="1:1" ht="15" x14ac:dyDescent="0.25">
      <c r="A20" s="168"/>
    </row>
    <row r="21" spans="1:1" ht="15" x14ac:dyDescent="0.25">
      <c r="A21" s="168" t="s">
        <v>942</v>
      </c>
    </row>
    <row r="23" spans="1:1" ht="73.5" customHeight="1" x14ac:dyDescent="0.25">
      <c r="A23" s="171" t="s">
        <v>918</v>
      </c>
    </row>
    <row r="24" spans="1:1" ht="54.75" customHeight="1" x14ac:dyDescent="0.25">
      <c r="A24" s="171" t="s">
        <v>770</v>
      </c>
    </row>
    <row r="25" spans="1:1" ht="29.25" customHeight="1" x14ac:dyDescent="0.25">
      <c r="A25" s="171" t="s">
        <v>747</v>
      </c>
    </row>
    <row r="27" spans="1:1" ht="30" x14ac:dyDescent="0.25">
      <c r="A27" s="82" t="s">
        <v>771</v>
      </c>
    </row>
    <row r="28" spans="1:1" ht="15" x14ac:dyDescent="0.25">
      <c r="A28" s="82"/>
    </row>
    <row r="29" spans="1:1" ht="60" x14ac:dyDescent="0.25">
      <c r="A29" s="82" t="s">
        <v>954</v>
      </c>
    </row>
    <row r="30" spans="1:1" ht="15" x14ac:dyDescent="0.25">
      <c r="A30" s="89"/>
    </row>
    <row r="31" spans="1:1" ht="45" x14ac:dyDescent="0.25">
      <c r="A31" s="82" t="s">
        <v>955</v>
      </c>
    </row>
    <row r="32" spans="1:1" ht="15" x14ac:dyDescent="0.25">
      <c r="A32" s="89"/>
    </row>
    <row r="33" spans="1:1" ht="45" x14ac:dyDescent="0.25">
      <c r="A33" s="82" t="s">
        <v>772</v>
      </c>
    </row>
    <row r="34" spans="1:1" ht="15" x14ac:dyDescent="0.25">
      <c r="A34" s="89"/>
    </row>
    <row r="35" spans="1:1" ht="15" x14ac:dyDescent="0.25">
      <c r="A35" s="89" t="s">
        <v>757</v>
      </c>
    </row>
    <row r="36" spans="1:1" ht="15" x14ac:dyDescent="0.25">
      <c r="A36" s="89"/>
    </row>
    <row r="37" spans="1:1" ht="30" x14ac:dyDescent="0.25">
      <c r="A37" s="92" t="s">
        <v>755</v>
      </c>
    </row>
    <row r="38" spans="1:1" ht="15" x14ac:dyDescent="0.25">
      <c r="A38" s="82"/>
    </row>
    <row r="39" spans="1:1" ht="30" x14ac:dyDescent="0.25">
      <c r="A39" s="89" t="s">
        <v>756</v>
      </c>
    </row>
    <row r="41" spans="1:1" ht="15.6" x14ac:dyDescent="0.3">
      <c r="A41" s="182" t="s">
        <v>938</v>
      </c>
    </row>
    <row r="42" spans="1:1" ht="35.1" customHeight="1" x14ac:dyDescent="0.25">
      <c r="A42" s="168" t="s">
        <v>950</v>
      </c>
    </row>
    <row r="43" spans="1:1" ht="15" x14ac:dyDescent="0.25">
      <c r="A43" s="173" t="s">
        <v>939</v>
      </c>
    </row>
    <row r="44" spans="1:1" ht="15" customHeight="1" x14ac:dyDescent="0.25">
      <c r="A44" s="173" t="s">
        <v>940</v>
      </c>
    </row>
    <row r="45" spans="1:1" ht="15" customHeight="1" x14ac:dyDescent="0.25">
      <c r="A45" s="211" t="s">
        <v>949</v>
      </c>
    </row>
    <row r="46" spans="1:1" ht="15" x14ac:dyDescent="0.25">
      <c r="A46" s="168"/>
    </row>
    <row r="47" spans="1:1" ht="136.19999999999999" x14ac:dyDescent="0.25">
      <c r="A47" s="168" t="s">
        <v>943</v>
      </c>
    </row>
  </sheetData>
  <sheetProtection sheet="1" objects="1"/>
  <phoneticPr fontId="1" type="noConversion"/>
  <pageMargins left="0.75" right="0.75" top="1" bottom="1" header="0.5" footer="0.5"/>
  <pageSetup scale="10"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198"/>
  <sheetViews>
    <sheetView tabSelected="1" topLeftCell="B1" zoomScale="130" zoomScaleNormal="130" workbookViewId="0">
      <selection activeCell="D4" sqref="D4:F4"/>
    </sheetView>
  </sheetViews>
  <sheetFormatPr defaultRowHeight="13.2" x14ac:dyDescent="0.25"/>
  <cols>
    <col min="1" max="1" width="2.109375" customWidth="1"/>
    <col min="2" max="2" width="11.6640625" style="32" customWidth="1"/>
    <col min="3" max="3" width="26.33203125" customWidth="1"/>
    <col min="4" max="4" width="40.33203125" customWidth="1"/>
    <col min="5" max="5" width="10.33203125" customWidth="1"/>
    <col min="7" max="7" width="8.5546875" customWidth="1"/>
    <col min="8" max="8" width="12.6640625" hidden="1" customWidth="1"/>
    <col min="9" max="9" width="15.33203125" hidden="1" customWidth="1"/>
    <col min="10" max="10" width="12.44140625" hidden="1" customWidth="1"/>
    <col min="11" max="11" width="10.5546875" hidden="1" customWidth="1"/>
    <col min="12" max="12" width="8.109375" hidden="1" customWidth="1"/>
    <col min="13" max="13" width="19.44140625" hidden="1" customWidth="1"/>
    <col min="14" max="14" width="8.6640625" hidden="1" customWidth="1"/>
    <col min="19" max="19" width="13.88671875" customWidth="1"/>
    <col min="20" max="21" width="9.109375" hidden="1" customWidth="1"/>
    <col min="22" max="22" width="9.109375" style="32" hidden="1" customWidth="1"/>
    <col min="23" max="23" width="13.6640625" hidden="1" customWidth="1"/>
    <col min="24" max="24" width="12.5546875" hidden="1" customWidth="1"/>
    <col min="25" max="25" width="13.6640625" hidden="1" customWidth="1"/>
    <col min="26" max="26" width="12.5546875" hidden="1" customWidth="1"/>
    <col min="27" max="27" width="10.5546875" hidden="1" customWidth="1"/>
    <col min="28" max="28" width="11.5546875" hidden="1" customWidth="1"/>
    <col min="29" max="29" width="9.109375" hidden="1" customWidth="1"/>
    <col min="30" max="30" width="17.109375" hidden="1" customWidth="1"/>
    <col min="31" max="69" width="23.6640625" hidden="1" customWidth="1"/>
    <col min="70" max="134" width="23.6640625" customWidth="1"/>
  </cols>
  <sheetData>
    <row r="1" spans="1:69" x14ac:dyDescent="0.25">
      <c r="A1" s="4"/>
      <c r="B1" s="93"/>
      <c r="C1" s="61" t="s">
        <v>452</v>
      </c>
      <c r="D1" s="5"/>
      <c r="E1" s="5"/>
      <c r="F1" s="5"/>
      <c r="G1" s="5"/>
      <c r="H1" s="5" t="s">
        <v>448</v>
      </c>
      <c r="I1" s="5"/>
      <c r="J1" s="5"/>
      <c r="K1" s="5"/>
      <c r="L1" s="5"/>
      <c r="M1" s="5"/>
      <c r="N1" s="5"/>
      <c r="O1" s="5"/>
      <c r="P1" s="5"/>
      <c r="Q1" s="234" t="s">
        <v>948</v>
      </c>
      <c r="R1" s="234"/>
      <c r="S1" s="235"/>
      <c r="U1" t="s">
        <v>309</v>
      </c>
      <c r="V1" s="32">
        <v>0</v>
      </c>
      <c r="W1" s="32">
        <v>1</v>
      </c>
      <c r="X1" s="32">
        <v>2</v>
      </c>
      <c r="Y1" s="32">
        <v>3</v>
      </c>
      <c r="Z1" s="32" t="s">
        <v>313</v>
      </c>
      <c r="AA1" t="s">
        <v>440</v>
      </c>
      <c r="AB1" t="s">
        <v>441</v>
      </c>
      <c r="AD1" s="25" t="s">
        <v>327</v>
      </c>
      <c r="AE1" s="44" t="s">
        <v>442</v>
      </c>
      <c r="AF1" s="44" t="s">
        <v>328</v>
      </c>
      <c r="AG1" s="44" t="s">
        <v>329</v>
      </c>
      <c r="AH1" s="44" t="s">
        <v>330</v>
      </c>
      <c r="AI1" s="44" t="s">
        <v>331</v>
      </c>
      <c r="AJ1" s="44" t="s">
        <v>332</v>
      </c>
      <c r="AK1" s="44" t="s">
        <v>333</v>
      </c>
      <c r="AL1" s="47" t="s">
        <v>334</v>
      </c>
      <c r="AM1" s="47" t="s">
        <v>335</v>
      </c>
      <c r="AN1" s="47" t="s">
        <v>336</v>
      </c>
      <c r="AO1" s="47" t="s">
        <v>337</v>
      </c>
      <c r="AP1" s="47" t="s">
        <v>338</v>
      </c>
      <c r="AQ1" s="47" t="s">
        <v>339</v>
      </c>
      <c r="AR1" s="44" t="s">
        <v>340</v>
      </c>
      <c r="AS1" s="44" t="s">
        <v>341</v>
      </c>
      <c r="AT1" s="44" t="s">
        <v>342</v>
      </c>
      <c r="AU1" s="44" t="s">
        <v>343</v>
      </c>
      <c r="AV1" s="44" t="s">
        <v>344</v>
      </c>
      <c r="AW1" s="44" t="s">
        <v>345</v>
      </c>
      <c r="AX1" s="47" t="s">
        <v>346</v>
      </c>
      <c r="AY1" s="47" t="s">
        <v>263</v>
      </c>
      <c r="AZ1" s="47" t="s">
        <v>272</v>
      </c>
      <c r="BA1" s="47" t="s">
        <v>273</v>
      </c>
      <c r="BB1" s="47" t="s">
        <v>271</v>
      </c>
      <c r="BC1" s="47" t="s">
        <v>270</v>
      </c>
      <c r="BD1" s="44" t="s">
        <v>274</v>
      </c>
      <c r="BE1" s="44" t="s">
        <v>275</v>
      </c>
      <c r="BF1" s="44" t="s">
        <v>276</v>
      </c>
      <c r="BG1" s="47" t="s">
        <v>277</v>
      </c>
      <c r="BH1" s="47" t="s">
        <v>278</v>
      </c>
      <c r="BI1" s="47" t="s">
        <v>279</v>
      </c>
      <c r="BJ1" s="44" t="s">
        <v>280</v>
      </c>
      <c r="BK1" s="44" t="s">
        <v>281</v>
      </c>
      <c r="BL1" s="44" t="s">
        <v>282</v>
      </c>
      <c r="BM1" s="47" t="s">
        <v>283</v>
      </c>
      <c r="BN1" s="47" t="s">
        <v>439</v>
      </c>
      <c r="BP1" s="22" t="s">
        <v>759</v>
      </c>
      <c r="BQ1" s="22"/>
    </row>
    <row r="2" spans="1:69" x14ac:dyDescent="0.25">
      <c r="A2" s="7"/>
      <c r="B2" s="91"/>
      <c r="C2" s="55" t="s">
        <v>453</v>
      </c>
      <c r="D2" s="183" t="s">
        <v>921</v>
      </c>
      <c r="E2" s="8"/>
      <c r="F2" s="8"/>
      <c r="G2" s="8"/>
      <c r="H2" s="8"/>
      <c r="I2" s="8"/>
      <c r="J2" s="8"/>
      <c r="K2" s="8"/>
      <c r="L2" s="8"/>
      <c r="M2" s="8"/>
      <c r="N2" s="8"/>
      <c r="O2" s="8"/>
      <c r="P2" s="8"/>
      <c r="Q2" s="8"/>
      <c r="R2" s="8"/>
      <c r="S2" s="9"/>
      <c r="W2" s="32"/>
      <c r="X2" s="32"/>
      <c r="Y2" s="32"/>
      <c r="Z2" s="32"/>
      <c r="AD2" s="25"/>
      <c r="AE2" s="44"/>
      <c r="AF2" s="44"/>
      <c r="AG2" s="44"/>
      <c r="AH2" s="44"/>
      <c r="AI2" s="44"/>
      <c r="AJ2" s="44"/>
      <c r="AK2" s="44"/>
      <c r="AL2" s="47"/>
      <c r="AM2" s="47"/>
      <c r="AN2" s="47"/>
      <c r="AO2" s="47"/>
      <c r="AP2" s="47"/>
      <c r="AQ2" s="47"/>
      <c r="AR2" s="44"/>
      <c r="AS2" s="44"/>
      <c r="AT2" s="44"/>
      <c r="AU2" s="44"/>
      <c r="AV2" s="44"/>
      <c r="AW2" s="44"/>
      <c r="AX2" s="47"/>
      <c r="AY2" s="47"/>
      <c r="AZ2" s="47"/>
      <c r="BA2" s="47"/>
      <c r="BB2" s="47"/>
      <c r="BC2" s="47"/>
      <c r="BD2" s="44"/>
      <c r="BE2" s="44"/>
      <c r="BF2" s="44"/>
      <c r="BG2" s="47"/>
      <c r="BH2" s="47"/>
      <c r="BI2" s="47"/>
      <c r="BJ2" s="44"/>
      <c r="BK2" s="44"/>
      <c r="BL2" s="44"/>
      <c r="BM2" s="47"/>
      <c r="BN2" s="47"/>
      <c r="BP2" s="22" t="s">
        <v>760</v>
      </c>
      <c r="BQ2" s="22" t="s">
        <v>754</v>
      </c>
    </row>
    <row r="3" spans="1:69" x14ac:dyDescent="0.25">
      <c r="A3" s="7"/>
      <c r="B3" s="91"/>
      <c r="C3" s="55" t="s">
        <v>749</v>
      </c>
      <c r="D3" s="115" t="s">
        <v>905</v>
      </c>
      <c r="E3" s="8"/>
      <c r="F3" s="8"/>
      <c r="G3" s="8"/>
      <c r="H3" s="8"/>
      <c r="I3" s="8"/>
      <c r="J3" s="8"/>
      <c r="K3" s="8"/>
      <c r="L3" s="8"/>
      <c r="M3" s="8"/>
      <c r="N3" s="8"/>
      <c r="O3" s="8"/>
      <c r="P3" s="8"/>
      <c r="Q3" s="8"/>
      <c r="R3" s="8"/>
      <c r="S3" s="9"/>
      <c r="W3" s="32"/>
      <c r="X3" s="32"/>
      <c r="Y3" s="32"/>
      <c r="Z3" s="32"/>
      <c r="AD3" s="25"/>
      <c r="AE3" s="44"/>
      <c r="AF3" s="44"/>
      <c r="AG3" s="44"/>
      <c r="AH3" s="44"/>
      <c r="AI3" s="44"/>
      <c r="AJ3" s="44"/>
      <c r="AK3" s="44"/>
      <c r="AL3" s="47"/>
      <c r="AM3" s="47"/>
      <c r="AN3" s="47"/>
      <c r="AO3" s="47"/>
      <c r="AP3" s="47"/>
      <c r="AQ3" s="47"/>
      <c r="AR3" s="44"/>
      <c r="AS3" s="44"/>
      <c r="AT3" s="44"/>
      <c r="AU3" s="44"/>
      <c r="AV3" s="44"/>
      <c r="AW3" s="44"/>
      <c r="AX3" s="47"/>
      <c r="AY3" s="47"/>
      <c r="AZ3" s="47"/>
      <c r="BA3" s="47"/>
      <c r="BB3" s="47"/>
      <c r="BC3" s="47"/>
      <c r="BD3" s="44"/>
      <c r="BE3" s="44"/>
      <c r="BF3" s="44"/>
      <c r="BG3" s="47"/>
      <c r="BH3" s="47"/>
      <c r="BI3" s="47"/>
      <c r="BJ3" s="44"/>
      <c r="BK3" s="44"/>
      <c r="BL3" s="44"/>
      <c r="BM3" s="47"/>
      <c r="BN3" s="47"/>
      <c r="BP3" s="22" t="s">
        <v>761</v>
      </c>
      <c r="BQ3" s="22" t="s">
        <v>758</v>
      </c>
    </row>
    <row r="4" spans="1:69" x14ac:dyDescent="0.25">
      <c r="A4" s="7"/>
      <c r="B4" s="91"/>
      <c r="C4" s="54" t="s">
        <v>750</v>
      </c>
      <c r="D4" s="236" t="s">
        <v>905</v>
      </c>
      <c r="E4" s="236"/>
      <c r="F4" s="236"/>
      <c r="G4" s="8"/>
      <c r="H4" s="8"/>
      <c r="I4" s="8"/>
      <c r="J4" s="8"/>
      <c r="K4" s="8"/>
      <c r="L4" s="8"/>
      <c r="M4" s="8"/>
      <c r="N4" s="8"/>
      <c r="O4" s="8"/>
      <c r="P4" s="8"/>
      <c r="Q4" s="8"/>
      <c r="R4" s="8"/>
      <c r="S4" s="9"/>
      <c r="W4" s="32"/>
      <c r="X4" s="32"/>
      <c r="Y4" s="32"/>
      <c r="Z4" s="32"/>
      <c r="AD4" s="25"/>
      <c r="AE4" s="44"/>
      <c r="AF4" s="44"/>
      <c r="AG4" s="44"/>
      <c r="AH4" s="44"/>
      <c r="AI4" s="44"/>
      <c r="AJ4" s="44"/>
      <c r="AK4" s="44"/>
      <c r="AL4" s="47"/>
      <c r="AM4" s="47"/>
      <c r="AN4" s="47"/>
      <c r="AO4" s="47"/>
      <c r="AP4" s="47"/>
      <c r="AQ4" s="47"/>
      <c r="AR4" s="44"/>
      <c r="AS4" s="44"/>
      <c r="AT4" s="44"/>
      <c r="AU4" s="44"/>
      <c r="AV4" s="44"/>
      <c r="AW4" s="44"/>
      <c r="AX4" s="47"/>
      <c r="AY4" s="47"/>
      <c r="AZ4" s="47"/>
      <c r="BA4" s="47"/>
      <c r="BB4" s="47"/>
      <c r="BC4" s="47"/>
      <c r="BD4" s="44"/>
      <c r="BE4" s="44"/>
      <c r="BF4" s="44"/>
      <c r="BG4" s="47"/>
      <c r="BH4" s="47"/>
      <c r="BI4" s="47"/>
      <c r="BJ4" s="44"/>
      <c r="BK4" s="44"/>
      <c r="BL4" s="44"/>
      <c r="BM4" s="47"/>
      <c r="BN4" s="47"/>
      <c r="BP4" s="22" t="s">
        <v>762</v>
      </c>
      <c r="BQ4" s="22" t="s">
        <v>753</v>
      </c>
    </row>
    <row r="5" spans="1:69" x14ac:dyDescent="0.25">
      <c r="A5" s="7"/>
      <c r="B5" s="91"/>
      <c r="C5" s="8"/>
      <c r="D5" s="236" t="s">
        <v>751</v>
      </c>
      <c r="E5" s="236"/>
      <c r="F5" s="236"/>
      <c r="G5" s="8"/>
      <c r="H5" s="8"/>
      <c r="I5" s="8"/>
      <c r="J5" s="8"/>
      <c r="K5" s="8"/>
      <c r="L5" s="8"/>
      <c r="M5" s="8"/>
      <c r="N5" s="8"/>
      <c r="O5" s="8"/>
      <c r="P5" s="8"/>
      <c r="Q5" s="8"/>
      <c r="R5" s="8"/>
      <c r="S5" s="9"/>
      <c r="U5" t="s">
        <v>310</v>
      </c>
      <c r="V5" s="43">
        <f>D28</f>
        <v>90</v>
      </c>
      <c r="W5" s="43">
        <f>D29</f>
        <v>90</v>
      </c>
      <c r="X5" s="43">
        <f>D30</f>
        <v>270</v>
      </c>
      <c r="Y5" s="43">
        <f>D31</f>
        <v>0</v>
      </c>
      <c r="Z5" s="43">
        <f>D27*0.3048</f>
        <v>4.2671999999999999</v>
      </c>
      <c r="AA5" s="43">
        <f ca="1">ATAN((250-O47/2)/4000)*180/PI()</f>
        <v>3.0830861166809562</v>
      </c>
      <c r="AB5" s="43">
        <f ca="1">(TAN(AA5*PI()/180)*2000)+(O47/2)</f>
        <v>142.27600000000001</v>
      </c>
      <c r="AD5" s="23" t="s">
        <v>287</v>
      </c>
      <c r="AE5" s="45">
        <v>0</v>
      </c>
      <c r="AF5" s="45">
        <f ca="1">$O$49/2</f>
        <v>20</v>
      </c>
      <c r="AG5" s="45">
        <f t="shared" ref="AG5:AK5" ca="1" si="0">$O$49/2</f>
        <v>20</v>
      </c>
      <c r="AH5" s="45">
        <f t="shared" ca="1" si="0"/>
        <v>20</v>
      </c>
      <c r="AI5" s="45">
        <f t="shared" ca="1" si="0"/>
        <v>20</v>
      </c>
      <c r="AJ5" s="45">
        <f t="shared" ca="1" si="0"/>
        <v>20</v>
      </c>
      <c r="AK5" s="45">
        <f t="shared" ca="1" si="0"/>
        <v>20</v>
      </c>
      <c r="AL5" s="48">
        <f t="shared" ref="AL5:AQ5" ca="1" si="1">$O$47/2</f>
        <v>34.552</v>
      </c>
      <c r="AM5" s="48">
        <f t="shared" ca="1" si="1"/>
        <v>34.552</v>
      </c>
      <c r="AN5" s="48">
        <f t="shared" ca="1" si="1"/>
        <v>34.552</v>
      </c>
      <c r="AO5" s="48">
        <f t="shared" ca="1" si="1"/>
        <v>34.552</v>
      </c>
      <c r="AP5" s="48">
        <f t="shared" ca="1" si="1"/>
        <v>34.552</v>
      </c>
      <c r="AQ5" s="48">
        <f t="shared" ca="1" si="1"/>
        <v>34.552</v>
      </c>
      <c r="AR5" s="45">
        <f t="shared" ref="AR5:AW5" ca="1" si="2">$R$54/2</f>
        <v>46.536000000000001</v>
      </c>
      <c r="AS5" s="45">
        <f t="shared" ca="1" si="2"/>
        <v>46.536000000000001</v>
      </c>
      <c r="AT5" s="45">
        <f t="shared" ca="1" si="2"/>
        <v>46.536000000000001</v>
      </c>
      <c r="AU5" s="45">
        <f t="shared" ca="1" si="2"/>
        <v>46.536000000000001</v>
      </c>
      <c r="AV5" s="45">
        <f t="shared" ca="1" si="2"/>
        <v>46.536000000000001</v>
      </c>
      <c r="AW5" s="45">
        <f t="shared" ca="1" si="2"/>
        <v>46.536000000000001</v>
      </c>
      <c r="AX5" s="48">
        <f ca="1">$O$47/2+4000</f>
        <v>4034.5520000000001</v>
      </c>
      <c r="AY5" s="48">
        <f ca="1">$O$47/2</f>
        <v>34.552</v>
      </c>
      <c r="AZ5" s="48">
        <v>250</v>
      </c>
      <c r="BA5" s="48">
        <v>250</v>
      </c>
      <c r="BB5" s="48">
        <f ca="1">$O$47/2</f>
        <v>34.552</v>
      </c>
      <c r="BC5" s="48">
        <f ca="1">$O$47/2</f>
        <v>34.552</v>
      </c>
      <c r="BD5" s="45">
        <f ca="1">250-$O$47/2</f>
        <v>215.44800000000001</v>
      </c>
      <c r="BE5" s="45">
        <f ca="1">250-$O$47/2</f>
        <v>215.44800000000001</v>
      </c>
      <c r="BF5" s="45">
        <f ca="1">$O$47</f>
        <v>69.103999999999999</v>
      </c>
      <c r="BG5" s="48">
        <f ca="1">250-$O$47/2</f>
        <v>215.44800000000001</v>
      </c>
      <c r="BH5" s="48">
        <f ca="1">250-$O$47/2</f>
        <v>215.44800000000001</v>
      </c>
      <c r="BI5" s="48">
        <f ca="1">$O$47</f>
        <v>69.103999999999999</v>
      </c>
      <c r="BJ5" s="45">
        <f ca="1">$O$47/2+2000</f>
        <v>2034.5519999999999</v>
      </c>
      <c r="BK5" s="45">
        <f ca="1">$AB$5</f>
        <v>142.27600000000001</v>
      </c>
      <c r="BL5" s="45">
        <f ca="1">$AB$5</f>
        <v>142.27600000000001</v>
      </c>
      <c r="BM5" s="48">
        <f ca="1">$AB$5+100</f>
        <v>242.27600000000001</v>
      </c>
      <c r="BN5" s="48">
        <f ca="1">$AB$5+100</f>
        <v>242.27600000000001</v>
      </c>
      <c r="BP5" s="22" t="s">
        <v>765</v>
      </c>
      <c r="BQ5" s="22" t="str">
        <f>IF(D35&lt;&gt;"",D35,IF(D34="Free",BQ2,IF(D34="Pro",BQ3,BQ4)))</f>
        <v>C:\Program Files (x86)\Google\Google Earth\client\googleearth.exe</v>
      </c>
    </row>
    <row r="6" spans="1:69" x14ac:dyDescent="0.25">
      <c r="A6" s="7"/>
      <c r="B6" s="91"/>
      <c r="C6" s="8"/>
      <c r="D6" s="105"/>
      <c r="E6" s="8"/>
      <c r="F6" s="8"/>
      <c r="G6" s="8"/>
      <c r="H6" s="8"/>
      <c r="I6" s="8"/>
      <c r="J6" s="8"/>
      <c r="K6" s="8"/>
      <c r="L6" s="8"/>
      <c r="M6" s="8"/>
      <c r="N6" s="8"/>
      <c r="O6" s="8"/>
      <c r="P6" s="19"/>
      <c r="Q6" s="86" t="str">
        <f>IF(D9="Transport",ROUND((0.66*0.3*D39),1)&amp;" ft","6 ft 8 in")</f>
        <v>6 ft 8 in</v>
      </c>
      <c r="R6" s="19"/>
      <c r="S6" s="9"/>
      <c r="T6" t="s">
        <v>177</v>
      </c>
      <c r="V6" s="43"/>
      <c r="W6" s="43"/>
      <c r="X6" s="43"/>
      <c r="Y6" s="43"/>
      <c r="Z6" s="90"/>
      <c r="AA6" s="43"/>
      <c r="AB6" s="90"/>
      <c r="AD6" s="23"/>
      <c r="AE6" s="45"/>
      <c r="AF6" s="45"/>
      <c r="AG6" s="45"/>
      <c r="AH6" s="45"/>
      <c r="AI6" s="45"/>
      <c r="AJ6" s="45"/>
      <c r="AK6" s="45"/>
      <c r="AL6" s="48"/>
      <c r="AM6" s="48"/>
      <c r="AN6" s="48"/>
      <c r="AO6" s="48"/>
      <c r="AP6" s="48"/>
      <c r="AQ6" s="48"/>
      <c r="AR6" s="45"/>
      <c r="AS6" s="45"/>
      <c r="AT6" s="45"/>
      <c r="AU6" s="45"/>
      <c r="AV6" s="45"/>
      <c r="AW6" s="45"/>
      <c r="AX6" s="48"/>
      <c r="AY6" s="48"/>
      <c r="AZ6" s="48"/>
      <c r="BA6" s="48"/>
      <c r="BB6" s="48"/>
      <c r="BC6" s="48"/>
      <c r="BD6" s="45"/>
      <c r="BE6" s="45"/>
      <c r="BF6" s="45"/>
      <c r="BG6" s="48"/>
      <c r="BH6" s="48"/>
      <c r="BI6" s="48"/>
      <c r="BJ6" s="45"/>
      <c r="BK6" s="45"/>
      <c r="BL6" s="45"/>
      <c r="BM6" s="48"/>
      <c r="BN6" s="48"/>
      <c r="BP6" s="22" t="s">
        <v>752</v>
      </c>
      <c r="BQ6" s="22" t="str">
        <f>SUBSTITUTE(D8," ","_")</f>
        <v>TYPE_HELIPORT_NAME_HERE</v>
      </c>
    </row>
    <row r="7" spans="1:69" x14ac:dyDescent="0.25">
      <c r="A7" s="7"/>
      <c r="B7" s="91"/>
      <c r="C7" s="232" t="s">
        <v>773</v>
      </c>
      <c r="D7" s="233"/>
      <c r="E7" s="8"/>
      <c r="F7" s="8"/>
      <c r="G7" s="8"/>
      <c r="H7" s="8"/>
      <c r="I7" s="8"/>
      <c r="J7" s="8"/>
      <c r="K7" s="8"/>
      <c r="L7" s="8"/>
      <c r="M7" s="8"/>
      <c r="N7" s="8"/>
      <c r="O7" s="8"/>
      <c r="P7" s="19"/>
      <c r="Q7" s="19"/>
      <c r="R7" s="19"/>
      <c r="S7" s="9"/>
      <c r="T7" t="s">
        <v>176</v>
      </c>
      <c r="V7" s="43"/>
      <c r="W7" s="43"/>
      <c r="X7" s="43"/>
      <c r="Y7" s="43"/>
      <c r="Z7" s="90"/>
      <c r="AA7" s="43"/>
      <c r="AB7" s="90"/>
      <c r="AD7" s="23"/>
      <c r="AE7" s="45"/>
      <c r="AF7" s="45"/>
      <c r="AG7" s="45"/>
      <c r="AH7" s="45"/>
      <c r="AI7" s="45"/>
      <c r="AJ7" s="45"/>
      <c r="AK7" s="45"/>
      <c r="AL7" s="48"/>
      <c r="AM7" s="48"/>
      <c r="AN7" s="48"/>
      <c r="AO7" s="48"/>
      <c r="AP7" s="48"/>
      <c r="AQ7" s="48"/>
      <c r="AR7" s="45"/>
      <c r="AS7" s="45"/>
      <c r="AT7" s="45"/>
      <c r="AU7" s="45"/>
      <c r="AV7" s="45"/>
      <c r="AW7" s="45"/>
      <c r="AX7" s="48"/>
      <c r="AY7" s="48"/>
      <c r="AZ7" s="48"/>
      <c r="BA7" s="48"/>
      <c r="BB7" s="48"/>
      <c r="BC7" s="48"/>
      <c r="BD7" s="45"/>
      <c r="BE7" s="45"/>
      <c r="BF7" s="45"/>
      <c r="BG7" s="48"/>
      <c r="BH7" s="48"/>
      <c r="BI7" s="48"/>
      <c r="BJ7" s="45"/>
      <c r="BK7" s="45"/>
      <c r="BL7" s="45"/>
      <c r="BM7" s="48"/>
      <c r="BN7" s="48"/>
      <c r="BP7" s="22"/>
      <c r="BQ7" s="22"/>
    </row>
    <row r="8" spans="1:69" x14ac:dyDescent="0.25">
      <c r="A8" s="7"/>
      <c r="B8" s="91"/>
      <c r="C8" s="188" t="s">
        <v>957</v>
      </c>
      <c r="D8" s="118" t="s">
        <v>952</v>
      </c>
      <c r="E8" s="8"/>
      <c r="F8" s="8"/>
      <c r="G8" s="8"/>
      <c r="H8" s="8"/>
      <c r="I8" s="8"/>
      <c r="J8" s="8"/>
      <c r="K8" s="8"/>
      <c r="L8" s="8"/>
      <c r="M8" s="8"/>
      <c r="N8" s="8"/>
      <c r="O8" s="8"/>
      <c r="P8" s="19"/>
      <c r="Q8" s="19"/>
      <c r="R8" s="19"/>
      <c r="S8" s="9"/>
      <c r="V8" s="43"/>
      <c r="W8" s="43"/>
      <c r="X8" s="43"/>
      <c r="Y8" s="43"/>
      <c r="Z8" s="90"/>
      <c r="AA8" s="43"/>
      <c r="AB8" s="90"/>
      <c r="AD8" s="23"/>
      <c r="AE8" s="45"/>
      <c r="AF8" s="45"/>
      <c r="AG8" s="45"/>
      <c r="AH8" s="45"/>
      <c r="AI8" s="45"/>
      <c r="AJ8" s="45"/>
      <c r="AK8" s="45"/>
      <c r="AL8" s="48"/>
      <c r="AM8" s="48"/>
      <c r="AN8" s="48"/>
      <c r="AO8" s="48"/>
      <c r="AP8" s="48"/>
      <c r="AQ8" s="48"/>
      <c r="AR8" s="45"/>
      <c r="AS8" s="45"/>
      <c r="AT8" s="45"/>
      <c r="AU8" s="45"/>
      <c r="AV8" s="45"/>
      <c r="AW8" s="45"/>
      <c r="AX8" s="48"/>
      <c r="AY8" s="48"/>
      <c r="AZ8" s="48"/>
      <c r="BA8" s="48"/>
      <c r="BB8" s="48"/>
      <c r="BC8" s="48"/>
      <c r="BD8" s="45"/>
      <c r="BE8" s="45"/>
      <c r="BF8" s="45"/>
      <c r="BG8" s="48"/>
      <c r="BH8" s="48"/>
      <c r="BI8" s="48"/>
      <c r="BJ8" s="45"/>
      <c r="BK8" s="45"/>
      <c r="BL8" s="45"/>
      <c r="BM8" s="48"/>
      <c r="BN8" s="48"/>
    </row>
    <row r="9" spans="1:69" x14ac:dyDescent="0.25">
      <c r="A9" s="7"/>
      <c r="B9" s="91"/>
      <c r="C9" s="188" t="s">
        <v>181</v>
      </c>
      <c r="D9" s="199" t="s">
        <v>178</v>
      </c>
      <c r="E9" s="8"/>
      <c r="F9" s="8"/>
      <c r="G9" s="8"/>
      <c r="H9" s="8"/>
      <c r="I9" s="8"/>
      <c r="J9" s="8"/>
      <c r="K9" s="8"/>
      <c r="L9" s="8"/>
      <c r="M9" s="8"/>
      <c r="N9" s="8"/>
      <c r="O9" s="12" t="str">
        <f>IF(D9="Transport",ROUND((0.1*0.3*D39),1)&amp;" ft","1 ft")</f>
        <v>1 ft</v>
      </c>
      <c r="P9" s="19"/>
      <c r="Q9" s="19"/>
      <c r="R9" s="19"/>
      <c r="S9" s="9"/>
      <c r="V9" s="43"/>
      <c r="W9" s="43"/>
      <c r="X9" s="43"/>
      <c r="Y9" s="43"/>
      <c r="Z9" s="90"/>
      <c r="AA9" s="43"/>
      <c r="AB9" s="90"/>
      <c r="AD9" s="23"/>
      <c r="AE9" s="45"/>
      <c r="AF9" s="45"/>
      <c r="AG9" s="45"/>
      <c r="AH9" s="45"/>
      <c r="AI9" s="45"/>
      <c r="AJ9" s="45"/>
      <c r="AK9" s="45"/>
      <c r="AL9" s="48"/>
      <c r="AM9" s="48"/>
      <c r="AN9" s="48"/>
      <c r="AO9" s="48"/>
      <c r="AP9" s="48"/>
      <c r="AQ9" s="48"/>
      <c r="AR9" s="45"/>
      <c r="AS9" s="45"/>
      <c r="AT9" s="45"/>
      <c r="AU9" s="45"/>
      <c r="AV9" s="45"/>
      <c r="AW9" s="45"/>
      <c r="AX9" s="48"/>
      <c r="AY9" s="48"/>
      <c r="AZ9" s="48"/>
      <c r="BA9" s="48"/>
      <c r="BB9" s="48"/>
      <c r="BC9" s="48"/>
      <c r="BD9" s="45"/>
      <c r="BE9" s="45"/>
      <c r="BF9" s="45"/>
      <c r="BG9" s="48"/>
      <c r="BH9" s="48"/>
      <c r="BI9" s="48"/>
      <c r="BJ9" s="45"/>
      <c r="BK9" s="45"/>
      <c r="BL9" s="45"/>
      <c r="BM9" s="48"/>
      <c r="BN9" s="48"/>
    </row>
    <row r="10" spans="1:69" x14ac:dyDescent="0.25">
      <c r="A10" s="7"/>
      <c r="B10" s="91"/>
      <c r="C10" s="188" t="s">
        <v>777</v>
      </c>
      <c r="D10" s="199" t="s">
        <v>177</v>
      </c>
      <c r="E10" s="8"/>
      <c r="F10" s="8"/>
      <c r="G10" s="8"/>
      <c r="H10" s="8"/>
      <c r="I10" s="8"/>
      <c r="J10" s="8"/>
      <c r="K10" s="8"/>
      <c r="L10" s="8"/>
      <c r="M10" s="8"/>
      <c r="N10" s="8"/>
      <c r="O10" s="12"/>
      <c r="P10" s="19"/>
      <c r="Q10" s="19"/>
      <c r="R10" s="19"/>
      <c r="S10" s="9"/>
      <c r="V10" s="43"/>
      <c r="W10" s="43"/>
      <c r="X10" s="43"/>
      <c r="Y10" s="43"/>
      <c r="Z10" s="90"/>
      <c r="AA10" s="43"/>
      <c r="AB10" s="90"/>
      <c r="AD10" s="23"/>
      <c r="AE10" s="45"/>
      <c r="AF10" s="45"/>
      <c r="AG10" s="45"/>
      <c r="AH10" s="45"/>
      <c r="AI10" s="45"/>
      <c r="AJ10" s="45"/>
      <c r="AK10" s="45"/>
      <c r="AL10" s="48"/>
      <c r="AM10" s="48"/>
      <c r="AN10" s="48"/>
      <c r="AO10" s="48"/>
      <c r="AP10" s="48"/>
      <c r="AQ10" s="48"/>
      <c r="AR10" s="45"/>
      <c r="AS10" s="45"/>
      <c r="AT10" s="45"/>
      <c r="AU10" s="45"/>
      <c r="AV10" s="45"/>
      <c r="AW10" s="45"/>
      <c r="AX10" s="48"/>
      <c r="AY10" s="48"/>
      <c r="AZ10" s="48"/>
      <c r="BA10" s="48"/>
      <c r="BB10" s="48"/>
      <c r="BC10" s="48"/>
      <c r="BD10" s="45"/>
      <c r="BE10" s="45"/>
      <c r="BF10" s="45"/>
      <c r="BG10" s="48"/>
      <c r="BH10" s="48"/>
      <c r="BI10" s="48"/>
      <c r="BJ10" s="45"/>
      <c r="BK10" s="45"/>
      <c r="BL10" s="45"/>
      <c r="BM10" s="48"/>
      <c r="BN10" s="48"/>
    </row>
    <row r="11" spans="1:69" x14ac:dyDescent="0.25">
      <c r="A11" s="7"/>
      <c r="B11" s="91"/>
      <c r="C11" s="188" t="s">
        <v>166</v>
      </c>
      <c r="D11" s="199" t="s">
        <v>168</v>
      </c>
      <c r="E11" s="8"/>
      <c r="F11" s="8"/>
      <c r="G11" s="8"/>
      <c r="H11" s="8"/>
      <c r="I11" s="8"/>
      <c r="J11" s="8"/>
      <c r="K11" s="8"/>
      <c r="L11" s="8"/>
      <c r="M11" s="8"/>
      <c r="N11" s="8"/>
      <c r="O11" s="8"/>
      <c r="P11" s="19"/>
      <c r="Q11" s="19"/>
      <c r="R11" s="19"/>
      <c r="S11" s="9"/>
      <c r="V11" s="43"/>
      <c r="W11" s="43"/>
      <c r="X11" s="43"/>
      <c r="Y11" s="43"/>
      <c r="Z11" s="90"/>
      <c r="AA11" s="43"/>
      <c r="AB11" s="90"/>
      <c r="AD11" s="23"/>
      <c r="AE11" s="45"/>
      <c r="AF11" s="45"/>
      <c r="AG11" s="45"/>
      <c r="AH11" s="45"/>
      <c r="AI11" s="45"/>
      <c r="AJ11" s="45"/>
      <c r="AK11" s="45"/>
      <c r="AL11" s="48"/>
      <c r="AM11" s="48"/>
      <c r="AN11" s="48"/>
      <c r="AO11" s="48"/>
      <c r="AP11" s="48"/>
      <c r="AQ11" s="48"/>
      <c r="AR11" s="45"/>
      <c r="AS11" s="45"/>
      <c r="AT11" s="45"/>
      <c r="AU11" s="45"/>
      <c r="AV11" s="45"/>
      <c r="AW11" s="45"/>
      <c r="AX11" s="48"/>
      <c r="AY11" s="48"/>
      <c r="AZ11" s="48"/>
      <c r="BA11" s="48"/>
      <c r="BB11" s="48"/>
      <c r="BC11" s="48"/>
      <c r="BD11" s="45"/>
      <c r="BE11" s="45"/>
      <c r="BF11" s="45"/>
      <c r="BG11" s="48"/>
      <c r="BH11" s="48"/>
      <c r="BI11" s="48"/>
      <c r="BJ11" s="45"/>
      <c r="BK11" s="45"/>
      <c r="BL11" s="45"/>
      <c r="BM11" s="48"/>
      <c r="BN11" s="48"/>
    </row>
    <row r="12" spans="1:69" x14ac:dyDescent="0.25">
      <c r="A12" s="7"/>
      <c r="B12" s="91"/>
      <c r="C12" s="189" t="s">
        <v>766</v>
      </c>
      <c r="D12" s="199" t="s">
        <v>169</v>
      </c>
      <c r="E12" s="8"/>
      <c r="F12" s="8"/>
      <c r="G12" s="8"/>
      <c r="H12" s="8" t="s">
        <v>447</v>
      </c>
      <c r="I12" s="8"/>
      <c r="J12" s="8"/>
      <c r="K12" s="8"/>
      <c r="L12" s="8"/>
      <c r="M12" s="8"/>
      <c r="N12" s="8"/>
      <c r="O12" s="8"/>
      <c r="P12" s="19"/>
      <c r="Q12" s="19"/>
      <c r="R12" s="19"/>
      <c r="S12" s="9"/>
      <c r="U12" t="s">
        <v>311</v>
      </c>
      <c r="V12" s="43">
        <f>IF(V5&lt;180,V5+180,V5-180)</f>
        <v>270</v>
      </c>
      <c r="W12" s="43">
        <f>IF(W5&lt;180,W5+180,W5-180)</f>
        <v>270</v>
      </c>
      <c r="X12" s="43">
        <f>IF(X5&lt;180,X5+180,X5-180)</f>
        <v>90</v>
      </c>
      <c r="Y12" s="43">
        <f>IF(Y5&lt;180,Y5+180,Y5-180)</f>
        <v>180</v>
      </c>
      <c r="Z12" s="71" t="s">
        <v>616</v>
      </c>
      <c r="AA12" s="43">
        <f ca="1">ATAN((AB5-O47/2+100)/2000)*180/PI()</f>
        <v>5.9295937759432409</v>
      </c>
      <c r="AD12" s="23" t="s">
        <v>284</v>
      </c>
      <c r="AE12" s="45">
        <f>$D$25</f>
        <v>260330.3</v>
      </c>
      <c r="AF12" s="45">
        <f>$D$25</f>
        <v>260330.3</v>
      </c>
      <c r="AG12" s="45">
        <f>$D$25</f>
        <v>260330.3</v>
      </c>
      <c r="AH12" s="45">
        <f ca="1">AF35</f>
        <v>260330.30001195401</v>
      </c>
      <c r="AI12" s="45">
        <f ca="1">AF35</f>
        <v>260330.30001195401</v>
      </c>
      <c r="AJ12" s="45">
        <f ca="1">AG35</f>
        <v>260330.30001195401</v>
      </c>
      <c r="AK12" s="45">
        <f ca="1">AG35</f>
        <v>260330.30001195401</v>
      </c>
      <c r="AL12" s="48">
        <f>$D$25</f>
        <v>260330.3</v>
      </c>
      <c r="AM12" s="48">
        <f>$D$25</f>
        <v>260330.3</v>
      </c>
      <c r="AN12" s="48">
        <f ca="1">AL35</f>
        <v>260330.30001186201</v>
      </c>
      <c r="AO12" s="48">
        <f ca="1">AL35</f>
        <v>260330.30001186201</v>
      </c>
      <c r="AP12" s="48">
        <f ca="1">AM35</f>
        <v>260330.30001186201</v>
      </c>
      <c r="AQ12" s="48">
        <f ca="1">AM35</f>
        <v>260330.30001186201</v>
      </c>
      <c r="AR12" s="45">
        <f>$D$25</f>
        <v>260330.3</v>
      </c>
      <c r="AS12" s="45">
        <f>$D$25</f>
        <v>260330.3</v>
      </c>
      <c r="AT12" s="45">
        <f ca="1">AR35</f>
        <v>260330.30001174999</v>
      </c>
      <c r="AU12" s="45">
        <f ca="1">AR35</f>
        <v>260330.30001174999</v>
      </c>
      <c r="AV12" s="45">
        <f ca="1">AS35</f>
        <v>260330.30001174999</v>
      </c>
      <c r="AW12" s="45">
        <f ca="1">AS35</f>
        <v>260330.30001174999</v>
      </c>
      <c r="AX12" s="48">
        <f>$D$25</f>
        <v>260330.3</v>
      </c>
      <c r="AY12" s="48">
        <f>$D$25</f>
        <v>260330.3</v>
      </c>
      <c r="AZ12" s="48">
        <f ca="1">AX35</f>
        <v>260330.29812953799</v>
      </c>
      <c r="BA12" s="48">
        <f ca="1">AX35</f>
        <v>260330.29812953799</v>
      </c>
      <c r="BB12" s="48">
        <f ca="1">AY35</f>
        <v>260330.30001186201</v>
      </c>
      <c r="BC12" s="48">
        <f ca="1">AY35</f>
        <v>260330.30001186201</v>
      </c>
      <c r="BD12" s="45">
        <f ca="1">BC35</f>
        <v>260329.95780088901</v>
      </c>
      <c r="BE12" s="45">
        <f ca="1">BF35</f>
        <v>260329.95779544802</v>
      </c>
      <c r="BF12" s="45">
        <f ca="1">BC35</f>
        <v>260329.95780088901</v>
      </c>
      <c r="BG12" s="48">
        <f ca="1">BB35</f>
        <v>260330.642223106</v>
      </c>
      <c r="BH12" s="48">
        <f ca="1">BI35</f>
        <v>260330.64222744803</v>
      </c>
      <c r="BI12" s="48">
        <f ca="1">BB35</f>
        <v>260330.642223106</v>
      </c>
      <c r="BJ12" s="45">
        <f>$D$25</f>
        <v>260330.3</v>
      </c>
      <c r="BK12" s="45">
        <f ca="1">BJ35</f>
        <v>260330.29953328898</v>
      </c>
      <c r="BL12" s="45">
        <f ca="1">BJ35</f>
        <v>260330.29953328898</v>
      </c>
      <c r="BM12" s="48">
        <f ca="1">BJ35</f>
        <v>260330.29953328898</v>
      </c>
      <c r="BN12" s="48">
        <f ca="1">BJ35</f>
        <v>260330.29953328898</v>
      </c>
    </row>
    <row r="13" spans="1:69" x14ac:dyDescent="0.25">
      <c r="A13" s="7"/>
      <c r="B13" s="91"/>
      <c r="C13" s="189" t="s">
        <v>767</v>
      </c>
      <c r="D13" s="199" t="s">
        <v>169</v>
      </c>
      <c r="E13" s="87" t="str">
        <f>IF(AND(D9="Transport",D12="Yes",D13="No"),"Should be Load Bearing (AC 2.7.7.2.2)","")</f>
        <v/>
      </c>
      <c r="F13" s="10"/>
      <c r="G13" s="8"/>
      <c r="H13" s="8"/>
      <c r="I13" s="8"/>
      <c r="J13" s="8"/>
      <c r="K13" s="8"/>
      <c r="L13" s="8"/>
      <c r="M13" s="8"/>
      <c r="N13" s="8"/>
      <c r="O13" s="8"/>
      <c r="P13" s="19"/>
      <c r="Q13" s="19"/>
      <c r="R13" s="19"/>
      <c r="S13" s="107" t="str">
        <f>IF(D9="Transport",ROUND((0.3*D39),1)&amp;" ft","10 ft")</f>
        <v>10 ft</v>
      </c>
      <c r="U13" t="s">
        <v>288</v>
      </c>
      <c r="V13" s="43">
        <f>IF(V5&lt;90,V5+270,V5-90)</f>
        <v>0</v>
      </c>
      <c r="W13" s="43">
        <f>IF(W5&lt;90,W5+270,W5-90)</f>
        <v>0</v>
      </c>
      <c r="X13" s="43">
        <f>IF(X5&lt;90,X5+270,X5-90)</f>
        <v>180</v>
      </c>
      <c r="Y13" s="43">
        <f>IF(Y5&lt;90,Y5+270,Y5-90)</f>
        <v>270</v>
      </c>
      <c r="AD13" s="23" t="s">
        <v>289</v>
      </c>
      <c r="AE13" s="45">
        <f>$D$26</f>
        <v>800803.59</v>
      </c>
      <c r="AF13" s="45">
        <f>$D$26</f>
        <v>800803.59</v>
      </c>
      <c r="AG13" s="45">
        <f>$D$26</f>
        <v>800803.59</v>
      </c>
      <c r="AH13" s="45">
        <f ca="1">AF36</f>
        <v>800803.37070961599</v>
      </c>
      <c r="AI13" s="45">
        <f ca="1">AF36</f>
        <v>800803.37070961599</v>
      </c>
      <c r="AJ13" s="45">
        <f ca="1">AG36</f>
        <v>800803.80932238302</v>
      </c>
      <c r="AK13" s="45">
        <f ca="1">AG36</f>
        <v>800803.80932238302</v>
      </c>
      <c r="AL13" s="48">
        <f>$D$26</f>
        <v>800803.59</v>
      </c>
      <c r="AM13" s="48">
        <f>$D$26</f>
        <v>800803.59</v>
      </c>
      <c r="AN13" s="48">
        <f ca="1">AL36</f>
        <v>800803.21114229201</v>
      </c>
      <c r="AO13" s="48">
        <f ca="1">AL36</f>
        <v>800803.21114229201</v>
      </c>
      <c r="AP13" s="48">
        <f ca="1">AM36</f>
        <v>800803.96888970793</v>
      </c>
      <c r="AQ13" s="48">
        <f ca="1">AM36</f>
        <v>800803.96888970793</v>
      </c>
      <c r="AR13" s="45">
        <f>$D$26</f>
        <v>800803.59</v>
      </c>
      <c r="AS13" s="45">
        <f>$D$26</f>
        <v>800803.59</v>
      </c>
      <c r="AT13" s="45">
        <f ca="1">AR36</f>
        <v>800803.07973390899</v>
      </c>
      <c r="AU13" s="45">
        <f ca="1">AR36</f>
        <v>800803.07973390899</v>
      </c>
      <c r="AV13" s="45">
        <f ca="1">AS36</f>
        <v>800804.10029809107</v>
      </c>
      <c r="AW13" s="45">
        <f ca="1">AS36</f>
        <v>800804.10029809107</v>
      </c>
      <c r="AX13" s="48">
        <f>$D$26</f>
        <v>800803.59</v>
      </c>
      <c r="AY13" s="48">
        <f>$D$26</f>
        <v>800803.59</v>
      </c>
      <c r="AZ13" s="48">
        <f ca="1">AX36</f>
        <v>800719.34986584191</v>
      </c>
      <c r="BA13" s="48">
        <f ca="1">AX36</f>
        <v>800719.34986584191</v>
      </c>
      <c r="BB13" s="48">
        <f ca="1">AY36</f>
        <v>800803.21114229201</v>
      </c>
      <c r="BC13" s="48">
        <f ca="1">AY36</f>
        <v>800803.21114229201</v>
      </c>
      <c r="BD13" s="45">
        <f ca="1">BC36</f>
        <v>800803.21115200105</v>
      </c>
      <c r="BE13" s="45">
        <f ca="1">BF36</f>
        <v>800803.96889880404</v>
      </c>
      <c r="BF13" s="45">
        <f ca="1">BC36</f>
        <v>800803.21115200105</v>
      </c>
      <c r="BG13" s="48">
        <f ca="1">BB36</f>
        <v>800803.21115200105</v>
      </c>
      <c r="BH13" s="48">
        <f ca="1">BI36</f>
        <v>800803.96890002699</v>
      </c>
      <c r="BI13" s="48">
        <f ca="1">BB36</f>
        <v>800803.21115200105</v>
      </c>
      <c r="BJ13" s="45">
        <f>$D$26</f>
        <v>800803.59</v>
      </c>
      <c r="BK13" s="45">
        <f ca="1">BJ36</f>
        <v>800741.280504019</v>
      </c>
      <c r="BL13" s="45">
        <f ca="1">BJ36</f>
        <v>800741.280504019</v>
      </c>
      <c r="BM13" s="48">
        <f ca="1">BJ36</f>
        <v>800741.280504019</v>
      </c>
      <c r="BN13" s="48">
        <f ca="1">BJ36</f>
        <v>800741.280504019</v>
      </c>
    </row>
    <row r="14" spans="1:69" x14ac:dyDescent="0.25">
      <c r="A14" s="7"/>
      <c r="B14" s="91"/>
      <c r="C14" s="188" t="s">
        <v>189</v>
      </c>
      <c r="D14" s="199" t="s">
        <v>168</v>
      </c>
      <c r="E14" s="87" t="str">
        <f>IF(AND(D14="No",D15="No"),"TLOF or FATO must be marked","")</f>
        <v/>
      </c>
      <c r="F14" s="8"/>
      <c r="G14" s="8"/>
      <c r="H14" s="8"/>
      <c r="I14" s="8"/>
      <c r="J14" s="8"/>
      <c r="K14" s="8"/>
      <c r="L14" s="8" t="s">
        <v>192</v>
      </c>
      <c r="M14" s="8">
        <f>IF(AND(D14="Yes",D16="Yes"),1,IF(AND(D16="No",D14="Yes"),2,IF(AND(D16="Yes",D15="Yes"),3,4)))</f>
        <v>1</v>
      </c>
      <c r="N14" s="8"/>
      <c r="O14" s="8"/>
      <c r="P14" s="19"/>
      <c r="Q14" s="19"/>
      <c r="R14" s="19"/>
      <c r="S14" s="9"/>
      <c r="U14" t="s">
        <v>291</v>
      </c>
      <c r="V14" s="43">
        <f>IF(V5&gt;270,V5-270,V5+90)</f>
        <v>180</v>
      </c>
      <c r="W14" s="43">
        <f>IF(W5&gt;270,W5-270,W5+90)</f>
        <v>180</v>
      </c>
      <c r="X14" s="43">
        <f>IF(X5&gt;270,X5-270,X5+90)</f>
        <v>360</v>
      </c>
      <c r="Y14" s="43">
        <f>IF(Y5&gt;270,Y5-270,Y5+90)</f>
        <v>90</v>
      </c>
      <c r="AD14" s="23" t="s">
        <v>294</v>
      </c>
      <c r="AE14" s="45">
        <f>$V$5</f>
        <v>90</v>
      </c>
      <c r="AF14" s="45">
        <f>$V$5</f>
        <v>90</v>
      </c>
      <c r="AG14" s="45">
        <f>$V$12</f>
        <v>270</v>
      </c>
      <c r="AH14" s="45">
        <f>$V$13</f>
        <v>0</v>
      </c>
      <c r="AI14" s="45">
        <f>$V$14</f>
        <v>180</v>
      </c>
      <c r="AJ14" s="45">
        <f>$V$14</f>
        <v>180</v>
      </c>
      <c r="AK14" s="45">
        <f>$V$13</f>
        <v>0</v>
      </c>
      <c r="AL14" s="48">
        <f>$V$5</f>
        <v>90</v>
      </c>
      <c r="AM14" s="48">
        <f>$V$12</f>
        <v>270</v>
      </c>
      <c r="AN14" s="48">
        <f>$V$13</f>
        <v>0</v>
      </c>
      <c r="AO14" s="48">
        <f>$V$14</f>
        <v>180</v>
      </c>
      <c r="AP14" s="48">
        <f>$V$14</f>
        <v>180</v>
      </c>
      <c r="AQ14" s="48">
        <f>$V$13</f>
        <v>0</v>
      </c>
      <c r="AR14" s="45">
        <f>$V$5</f>
        <v>90</v>
      </c>
      <c r="AS14" s="45">
        <f>$V$12</f>
        <v>270</v>
      </c>
      <c r="AT14" s="45">
        <f>$V$13</f>
        <v>0</v>
      </c>
      <c r="AU14" s="45">
        <f>$V$14</f>
        <v>180</v>
      </c>
      <c r="AV14" s="45">
        <f>$V$14</f>
        <v>180</v>
      </c>
      <c r="AW14" s="45">
        <f>$V$13</f>
        <v>0</v>
      </c>
      <c r="AX14" s="48">
        <f>$W$5</f>
        <v>90</v>
      </c>
      <c r="AY14" s="48">
        <f>$W$5</f>
        <v>90</v>
      </c>
      <c r="AZ14" s="48">
        <f>$W$14</f>
        <v>180</v>
      </c>
      <c r="BA14" s="48">
        <f>$W$13</f>
        <v>0</v>
      </c>
      <c r="BB14" s="48">
        <f>$W$13</f>
        <v>0</v>
      </c>
      <c r="BC14" s="48">
        <f>$W$14</f>
        <v>180</v>
      </c>
      <c r="BD14" s="45">
        <f>$W$14</f>
        <v>180</v>
      </c>
      <c r="BE14" s="45">
        <f>$W$14</f>
        <v>180</v>
      </c>
      <c r="BF14" s="45">
        <f>$W$12</f>
        <v>270</v>
      </c>
      <c r="BG14" s="48">
        <f>$W$13</f>
        <v>0</v>
      </c>
      <c r="BH14" s="48">
        <f>$W$13</f>
        <v>0</v>
      </c>
      <c r="BI14" s="48">
        <f>$W$12</f>
        <v>270</v>
      </c>
      <c r="BJ14" s="45">
        <f>$W$5</f>
        <v>90</v>
      </c>
      <c r="BK14" s="45">
        <f>$W$14</f>
        <v>180</v>
      </c>
      <c r="BL14" s="45">
        <f>$W$13</f>
        <v>0</v>
      </c>
      <c r="BM14" s="48">
        <f>$W$14</f>
        <v>180</v>
      </c>
      <c r="BN14" s="48">
        <f>$W$13</f>
        <v>0</v>
      </c>
    </row>
    <row r="15" spans="1:69" x14ac:dyDescent="0.25">
      <c r="A15" s="7"/>
      <c r="B15" s="91"/>
      <c r="C15" s="188" t="s">
        <v>190</v>
      </c>
      <c r="D15" s="199" t="s">
        <v>169</v>
      </c>
      <c r="E15" s="8"/>
      <c r="F15" s="8"/>
      <c r="G15" s="8"/>
      <c r="H15" s="8"/>
      <c r="I15" s="8"/>
      <c r="J15" s="8"/>
      <c r="K15" s="8"/>
      <c r="L15" s="8"/>
      <c r="M15" s="8"/>
      <c r="N15" s="8"/>
      <c r="O15" s="8"/>
      <c r="P15" s="19"/>
      <c r="Q15" s="19"/>
      <c r="R15" s="19"/>
      <c r="S15" s="9"/>
      <c r="AD15" s="23"/>
      <c r="AE15" s="45">
        <f t="shared" ref="AE15:BN15" si="3">ROUND((AE5/6076.115489),15)</f>
        <v>0</v>
      </c>
      <c r="AF15" s="45">
        <f t="shared" ca="1" si="3"/>
        <v>3.2915766720049999E-3</v>
      </c>
      <c r="AG15" s="45">
        <f t="shared" ca="1" si="3"/>
        <v>3.2915766720049999E-3</v>
      </c>
      <c r="AH15" s="45">
        <f t="shared" ca="1" si="3"/>
        <v>3.2915766720049999E-3</v>
      </c>
      <c r="AI15" s="45">
        <f t="shared" ca="1" si="3"/>
        <v>3.2915766720049999E-3</v>
      </c>
      <c r="AJ15" s="45">
        <f t="shared" ca="1" si="3"/>
        <v>3.2915766720049999E-3</v>
      </c>
      <c r="AK15" s="45">
        <f t="shared" ca="1" si="3"/>
        <v>3.2915766720049999E-3</v>
      </c>
      <c r="AL15" s="48">
        <f t="shared" ca="1" si="3"/>
        <v>5.686527858556E-3</v>
      </c>
      <c r="AM15" s="48">
        <f t="shared" ca="1" si="3"/>
        <v>5.686527858556E-3</v>
      </c>
      <c r="AN15" s="48">
        <f t="shared" ca="1" si="3"/>
        <v>5.686527858556E-3</v>
      </c>
      <c r="AO15" s="48">
        <f t="shared" ca="1" si="3"/>
        <v>5.686527858556E-3</v>
      </c>
      <c r="AP15" s="48">
        <f t="shared" ca="1" si="3"/>
        <v>5.686527858556E-3</v>
      </c>
      <c r="AQ15" s="48">
        <f t="shared" ca="1" si="3"/>
        <v>5.686527858556E-3</v>
      </c>
      <c r="AR15" s="45">
        <f t="shared" ca="1" si="3"/>
        <v>7.6588406004210003E-3</v>
      </c>
      <c r="AS15" s="45">
        <f t="shared" ca="1" si="3"/>
        <v>7.6588406004210003E-3</v>
      </c>
      <c r="AT15" s="45">
        <f t="shared" ca="1" si="3"/>
        <v>7.6588406004210003E-3</v>
      </c>
      <c r="AU15" s="45">
        <f t="shared" ca="1" si="3"/>
        <v>7.6588406004210003E-3</v>
      </c>
      <c r="AV15" s="45">
        <f t="shared" ca="1" si="3"/>
        <v>7.6588406004210003E-3</v>
      </c>
      <c r="AW15" s="45">
        <f t="shared" ca="1" si="3"/>
        <v>7.6588406004210003E-3</v>
      </c>
      <c r="AX15" s="48">
        <f t="shared" ca="1" si="3"/>
        <v>0.66400186225953395</v>
      </c>
      <c r="AY15" s="48">
        <f t="shared" ca="1" si="3"/>
        <v>5.686527858556E-3</v>
      </c>
      <c r="AZ15" s="48">
        <f t="shared" si="3"/>
        <v>4.1144708400061E-2</v>
      </c>
      <c r="BA15" s="48">
        <f t="shared" si="3"/>
        <v>4.1144708400061E-2</v>
      </c>
      <c r="BB15" s="48">
        <f t="shared" ca="1" si="3"/>
        <v>5.686527858556E-3</v>
      </c>
      <c r="BC15" s="48">
        <f t="shared" ca="1" si="3"/>
        <v>5.686527858556E-3</v>
      </c>
      <c r="BD15" s="45">
        <f t="shared" ca="1" si="3"/>
        <v>3.5458180541505999E-2</v>
      </c>
      <c r="BE15" s="45">
        <f t="shared" ca="1" si="3"/>
        <v>3.5458180541505999E-2</v>
      </c>
      <c r="BF15" s="45">
        <f t="shared" ca="1" si="3"/>
        <v>1.1373055717111001E-2</v>
      </c>
      <c r="BG15" s="48">
        <f t="shared" ca="1" si="3"/>
        <v>3.5458180541505999E-2</v>
      </c>
      <c r="BH15" s="48">
        <f t="shared" ca="1" si="3"/>
        <v>3.5458180541505999E-2</v>
      </c>
      <c r="BI15" s="48">
        <f t="shared" ca="1" si="3"/>
        <v>1.1373055717111001E-2</v>
      </c>
      <c r="BJ15" s="45">
        <f t="shared" ca="1" si="3"/>
        <v>0.334844195059045</v>
      </c>
      <c r="BK15" s="45">
        <f t="shared" ca="1" si="3"/>
        <v>2.3415618129308001E-2</v>
      </c>
      <c r="BL15" s="45">
        <f t="shared" ca="1" si="3"/>
        <v>2.3415618129308001E-2</v>
      </c>
      <c r="BM15" s="48">
        <f t="shared" ca="1" si="3"/>
        <v>3.9873501489333003E-2</v>
      </c>
      <c r="BN15" s="48">
        <f t="shared" ca="1" si="3"/>
        <v>3.9873501489333003E-2</v>
      </c>
    </row>
    <row r="16" spans="1:69" x14ac:dyDescent="0.25">
      <c r="A16" s="7"/>
      <c r="B16" s="91"/>
      <c r="C16" s="188" t="s">
        <v>167</v>
      </c>
      <c r="D16" s="199" t="s">
        <v>168</v>
      </c>
      <c r="E16" s="8"/>
      <c r="F16" s="8"/>
      <c r="G16" s="8"/>
      <c r="H16" s="8"/>
      <c r="I16" s="8"/>
      <c r="J16" s="8"/>
      <c r="K16" s="8"/>
      <c r="L16" s="8"/>
      <c r="M16" s="8" t="s">
        <v>191</v>
      </c>
      <c r="N16" s="8"/>
      <c r="O16" s="12" t="str">
        <f>IF(D9="Transport",ROUND((0.02*0.3*D39),1)&amp;" ft","3 in")</f>
        <v>3 in</v>
      </c>
      <c r="P16" s="19"/>
      <c r="Q16" s="19"/>
      <c r="R16" s="19"/>
      <c r="S16" s="9"/>
      <c r="AD16" s="23"/>
      <c r="AE16" s="45">
        <f t="shared" ref="AE16:BN16" si="4">ROUND((((ROUND(((((((AE12)-((TRUNC(AE12/100))*100))/60)+(TRUNC(AE12/100))-((TRUNC(AE12/10000))*100))/60)+((TRUNC(AE12/10000))))*1000000,2))/1000000)*(PI()/180)),15)</f>
        <v>0.45480516874807703</v>
      </c>
      <c r="AF16" s="45">
        <f t="shared" si="4"/>
        <v>0.45480516874807703</v>
      </c>
      <c r="AG16" s="45">
        <f t="shared" si="4"/>
        <v>0.45480516874807703</v>
      </c>
      <c r="AH16" s="45">
        <f t="shared" ca="1" si="4"/>
        <v>0.45480516874807703</v>
      </c>
      <c r="AI16" s="45">
        <f t="shared" ca="1" si="4"/>
        <v>0.45480516874807703</v>
      </c>
      <c r="AJ16" s="45">
        <f t="shared" ca="1" si="4"/>
        <v>0.45480516874807703</v>
      </c>
      <c r="AK16" s="45">
        <f t="shared" ca="1" si="4"/>
        <v>0.45480516874807703</v>
      </c>
      <c r="AL16" s="48">
        <f t="shared" si="4"/>
        <v>0.45480516874807703</v>
      </c>
      <c r="AM16" s="48">
        <f t="shared" si="4"/>
        <v>0.45480516874807703</v>
      </c>
      <c r="AN16" s="48">
        <f t="shared" ca="1" si="4"/>
        <v>0.45480516874807703</v>
      </c>
      <c r="AO16" s="48">
        <f t="shared" ca="1" si="4"/>
        <v>0.45480516874807703</v>
      </c>
      <c r="AP16" s="48">
        <f t="shared" ca="1" si="4"/>
        <v>0.45480516874807703</v>
      </c>
      <c r="AQ16" s="48">
        <f t="shared" ca="1" si="4"/>
        <v>0.45480516874807703</v>
      </c>
      <c r="AR16" s="45">
        <f t="shared" si="4"/>
        <v>0.45480516874807703</v>
      </c>
      <c r="AS16" s="45">
        <f t="shared" si="4"/>
        <v>0.45480516874807703</v>
      </c>
      <c r="AT16" s="45">
        <f t="shared" ca="1" si="4"/>
        <v>0.45480516874807703</v>
      </c>
      <c r="AU16" s="45">
        <f t="shared" ca="1" si="4"/>
        <v>0.45480516874807703</v>
      </c>
      <c r="AV16" s="45">
        <f t="shared" ca="1" si="4"/>
        <v>0.45480516874807703</v>
      </c>
      <c r="AW16" s="45">
        <f t="shared" ca="1" si="4"/>
        <v>0.45480516874807703</v>
      </c>
      <c r="AX16" s="48">
        <f t="shared" si="4"/>
        <v>0.45480516874807703</v>
      </c>
      <c r="AY16" s="48">
        <f t="shared" si="4"/>
        <v>0.45480516874807703</v>
      </c>
      <c r="AZ16" s="48">
        <f t="shared" ca="1" si="4"/>
        <v>0.45480515967236501</v>
      </c>
      <c r="BA16" s="48">
        <f t="shared" ca="1" si="4"/>
        <v>0.45480515967236501</v>
      </c>
      <c r="BB16" s="48">
        <f t="shared" ca="1" si="4"/>
        <v>0.45480516874807703</v>
      </c>
      <c r="BC16" s="48">
        <f t="shared" ca="1" si="4"/>
        <v>0.45480516874807703</v>
      </c>
      <c r="BD16" s="45">
        <f t="shared" ca="1" si="4"/>
        <v>0.45480350963809002</v>
      </c>
      <c r="BE16" s="45">
        <f t="shared" ca="1" si="4"/>
        <v>0.45480350963809002</v>
      </c>
      <c r="BF16" s="45">
        <f t="shared" ca="1" si="4"/>
        <v>0.45480350963809002</v>
      </c>
      <c r="BG16" s="48">
        <f t="shared" ca="1" si="4"/>
        <v>0.45480682785806398</v>
      </c>
      <c r="BH16" s="48">
        <f t="shared" ca="1" si="4"/>
        <v>0.45480682785806398</v>
      </c>
      <c r="BI16" s="48">
        <f t="shared" ca="1" si="4"/>
        <v>0.45480682785806398</v>
      </c>
      <c r="BJ16" s="45">
        <f t="shared" si="4"/>
        <v>0.45480516874807703</v>
      </c>
      <c r="BK16" s="45">
        <f t="shared" ca="1" si="4"/>
        <v>0.45480516647914898</v>
      </c>
      <c r="BL16" s="45">
        <f t="shared" ca="1" si="4"/>
        <v>0.45480516647914898</v>
      </c>
      <c r="BM16" s="48">
        <f t="shared" ca="1" si="4"/>
        <v>0.45480516647914898</v>
      </c>
      <c r="BN16" s="48">
        <f t="shared" ca="1" si="4"/>
        <v>0.45480516647914898</v>
      </c>
    </row>
    <row r="17" spans="1:66" ht="13.8" thickBot="1" x14ac:dyDescent="0.3">
      <c r="A17" s="7"/>
      <c r="B17" s="91"/>
      <c r="C17" s="188" t="s">
        <v>198</v>
      </c>
      <c r="D17" s="199" t="s">
        <v>43</v>
      </c>
      <c r="E17" s="8"/>
      <c r="F17" s="8"/>
      <c r="G17" s="8"/>
      <c r="H17" s="8"/>
      <c r="I17" s="8" t="s">
        <v>182</v>
      </c>
      <c r="J17" s="8" t="s">
        <v>183</v>
      </c>
      <c r="K17" s="8" t="s">
        <v>184</v>
      </c>
      <c r="L17" s="8">
        <v>1</v>
      </c>
      <c r="M17" s="8" t="s">
        <v>185</v>
      </c>
      <c r="N17" s="8">
        <f ca="1">IF(J28*0.28&gt;10,J28*0.28,10)</f>
        <v>11.984</v>
      </c>
      <c r="O17" s="8"/>
      <c r="P17" s="19"/>
      <c r="Q17" s="86" t="str">
        <f>IF(D9="Transport",ROUND((0.2*0.3*D39),1)&amp;" ft","2 ft")</f>
        <v>2 ft</v>
      </c>
      <c r="R17" s="19"/>
      <c r="S17" s="9"/>
      <c r="W17" s="24" t="s">
        <v>264</v>
      </c>
      <c r="X17" s="24" t="s">
        <v>265</v>
      </c>
      <c r="Y17" s="24" t="s">
        <v>266</v>
      </c>
      <c r="Z17" s="24" t="s">
        <v>267</v>
      </c>
      <c r="AA17" s="24" t="s">
        <v>268</v>
      </c>
      <c r="AB17" s="23" t="s">
        <v>269</v>
      </c>
      <c r="AD17" s="23"/>
      <c r="AE17" s="45">
        <f t="shared" ref="AE17:BN17" si="5">ROUND((((ROUND(((((((AE13)-((TRUNC(AE13/100))*100))/60)+(TRUNC(AE13/100))-((TRUNC(AE13/10000))*100))/60)+((TRUNC(AE13/10000))))*1000000,2))/1000000)*(PI()/180)),15)</f>
        <v>1.39860791215351</v>
      </c>
      <c r="AF17" s="45">
        <f t="shared" si="5"/>
        <v>1.39860791215351</v>
      </c>
      <c r="AG17" s="45">
        <f t="shared" si="5"/>
        <v>1.39860791215351</v>
      </c>
      <c r="AH17" s="45">
        <f t="shared" ca="1" si="5"/>
        <v>1.3986068488989301</v>
      </c>
      <c r="AI17" s="45">
        <f t="shared" ca="1" si="5"/>
        <v>1.3986068488989301</v>
      </c>
      <c r="AJ17" s="45">
        <f t="shared" ca="1" si="5"/>
        <v>1.3986089754080899</v>
      </c>
      <c r="AK17" s="45">
        <f t="shared" ca="1" si="5"/>
        <v>1.3986089754080899</v>
      </c>
      <c r="AL17" s="48">
        <f t="shared" si="5"/>
        <v>1.39860791215351</v>
      </c>
      <c r="AM17" s="48">
        <f t="shared" si="5"/>
        <v>1.39860791215351</v>
      </c>
      <c r="AN17" s="48">
        <f t="shared" ca="1" si="5"/>
        <v>1.3986060753690099</v>
      </c>
      <c r="AO17" s="48">
        <f t="shared" ca="1" si="5"/>
        <v>1.3986060753690099</v>
      </c>
      <c r="AP17" s="48">
        <f t="shared" ca="1" si="5"/>
        <v>1.39860974893802</v>
      </c>
      <c r="AQ17" s="48">
        <f t="shared" ca="1" si="5"/>
        <v>1.39860974893802</v>
      </c>
      <c r="AR17" s="45">
        <f t="shared" si="5"/>
        <v>1.39860791215351</v>
      </c>
      <c r="AS17" s="45">
        <f t="shared" si="5"/>
        <v>1.39860791215351</v>
      </c>
      <c r="AT17" s="45">
        <f t="shared" ca="1" si="5"/>
        <v>1.3986054381493001</v>
      </c>
      <c r="AU17" s="45">
        <f t="shared" ca="1" si="5"/>
        <v>1.3986054381493001</v>
      </c>
      <c r="AV17" s="45">
        <f t="shared" ca="1" si="5"/>
        <v>1.3986103861577299</v>
      </c>
      <c r="AW17" s="45">
        <f t="shared" ca="1" si="5"/>
        <v>1.3986103861577299</v>
      </c>
      <c r="AX17" s="48">
        <f t="shared" si="5"/>
        <v>1.39860791215351</v>
      </c>
      <c r="AY17" s="48">
        <f t="shared" si="5"/>
        <v>1.39860791215351</v>
      </c>
      <c r="AZ17" s="48">
        <f t="shared" ca="1" si="5"/>
        <v>1.3983934298634599</v>
      </c>
      <c r="BA17" s="48">
        <f t="shared" ca="1" si="5"/>
        <v>1.3983934298634599</v>
      </c>
      <c r="BB17" s="48">
        <f t="shared" ca="1" si="5"/>
        <v>1.3986060753690099</v>
      </c>
      <c r="BC17" s="48">
        <f t="shared" ca="1" si="5"/>
        <v>1.3986060753690099</v>
      </c>
      <c r="BD17" s="45">
        <f t="shared" ca="1" si="5"/>
        <v>1.3986060753690099</v>
      </c>
      <c r="BE17" s="45">
        <f t="shared" ca="1" si="5"/>
        <v>1.39860974911255</v>
      </c>
      <c r="BF17" s="45">
        <f t="shared" ca="1" si="5"/>
        <v>1.3986060753690099</v>
      </c>
      <c r="BG17" s="48">
        <f t="shared" ca="1" si="5"/>
        <v>1.3986060753690099</v>
      </c>
      <c r="BH17" s="48">
        <f t="shared" ca="1" si="5"/>
        <v>1.39860974911255</v>
      </c>
      <c r="BI17" s="48">
        <f t="shared" ca="1" si="5"/>
        <v>1.3986060753690099</v>
      </c>
      <c r="BJ17" s="45">
        <f t="shared" si="5"/>
        <v>1.39860791215351</v>
      </c>
      <c r="BK17" s="45">
        <f t="shared" ca="1" si="5"/>
        <v>1.39849975252897</v>
      </c>
      <c r="BL17" s="45">
        <f t="shared" ca="1" si="5"/>
        <v>1.39849975252897</v>
      </c>
      <c r="BM17" s="48">
        <f t="shared" ca="1" si="5"/>
        <v>1.39849975252897</v>
      </c>
      <c r="BN17" s="48">
        <f t="shared" ca="1" si="5"/>
        <v>1.39849975252897</v>
      </c>
    </row>
    <row r="18" spans="1:66" ht="13.8" thickBot="1" x14ac:dyDescent="0.3">
      <c r="A18" s="7"/>
      <c r="B18" s="91"/>
      <c r="C18" s="8"/>
      <c r="D18" s="8"/>
      <c r="E18" s="10"/>
      <c r="F18" s="8"/>
      <c r="G18" s="8"/>
      <c r="H18" s="8" t="s">
        <v>936</v>
      </c>
      <c r="I18" s="11">
        <f ca="1">IF($M$14=1,N29,IF($M$14=2,N30,(IF($M$14=3,N31,N32))))</f>
        <v>20</v>
      </c>
      <c r="J18" s="11">
        <f ca="1">IF(AND(D11="No",D12="Yes",D13="No"),J28,J28*0.83)</f>
        <v>35.523999999999994</v>
      </c>
      <c r="K18" s="11">
        <f ca="1">IF(AND($D$12="Yes",$D$13="No"),J18+$D$57*2,1.5*$J$28)</f>
        <v>64.199999999999989</v>
      </c>
      <c r="L18" s="8">
        <v>2</v>
      </c>
      <c r="M18" s="8" t="s">
        <v>186</v>
      </c>
      <c r="N18" s="8">
        <f ca="1">IF(J28*0.28&gt;20,J28*0.28,20)</f>
        <v>20</v>
      </c>
      <c r="O18" s="8"/>
      <c r="P18" s="19"/>
      <c r="Q18" s="19"/>
      <c r="R18" s="19"/>
      <c r="S18" s="9"/>
      <c r="U18" s="33" t="s">
        <v>183</v>
      </c>
      <c r="V18" s="50" t="s">
        <v>314</v>
      </c>
      <c r="W18" s="36">
        <f ca="1">$AF$34</f>
        <v>80.13426964156011</v>
      </c>
      <c r="X18" s="37">
        <f ca="1">$AF$36</f>
        <v>800803.37070961599</v>
      </c>
      <c r="Y18" s="36">
        <f ca="1">$AF$33</f>
        <v>26.058416669987185</v>
      </c>
      <c r="Z18" s="37">
        <f ca="1">$AF$35</f>
        <v>260330.30001195401</v>
      </c>
      <c r="AA18" s="37">
        <f>D27</f>
        <v>14</v>
      </c>
      <c r="AB18" s="40">
        <f t="shared" ref="AB18:AB53" si="6">AA18*0.3048</f>
        <v>4.2671999999999999</v>
      </c>
      <c r="AD18" s="23"/>
      <c r="AE18" s="45">
        <f t="shared" ref="AE18:BN18" si="7">ROUND((((((AE14-(TRUNC(AE14)))*0.6)*100)-(TRUNC(((AE14-(TRUNC(AE14)))*0.6)*100)))*0.006)+(TRUNC(AE14)+((TRUNC(((AE14-(TRUNC(AE14)))*0.6)*100))/100)),15)</f>
        <v>90</v>
      </c>
      <c r="AF18" s="45">
        <f t="shared" si="7"/>
        <v>90</v>
      </c>
      <c r="AG18" s="45">
        <f t="shared" si="7"/>
        <v>270</v>
      </c>
      <c r="AH18" s="45">
        <f t="shared" si="7"/>
        <v>0</v>
      </c>
      <c r="AI18" s="45">
        <f t="shared" si="7"/>
        <v>180</v>
      </c>
      <c r="AJ18" s="45">
        <f t="shared" si="7"/>
        <v>180</v>
      </c>
      <c r="AK18" s="45">
        <f t="shared" si="7"/>
        <v>0</v>
      </c>
      <c r="AL18" s="48">
        <f t="shared" si="7"/>
        <v>90</v>
      </c>
      <c r="AM18" s="48">
        <f t="shared" si="7"/>
        <v>270</v>
      </c>
      <c r="AN18" s="48">
        <f t="shared" si="7"/>
        <v>0</v>
      </c>
      <c r="AO18" s="48">
        <f t="shared" si="7"/>
        <v>180</v>
      </c>
      <c r="AP18" s="48">
        <f t="shared" si="7"/>
        <v>180</v>
      </c>
      <c r="AQ18" s="48">
        <f t="shared" si="7"/>
        <v>0</v>
      </c>
      <c r="AR18" s="45">
        <f t="shared" si="7"/>
        <v>90</v>
      </c>
      <c r="AS18" s="45">
        <f t="shared" si="7"/>
        <v>270</v>
      </c>
      <c r="AT18" s="45">
        <f t="shared" si="7"/>
        <v>0</v>
      </c>
      <c r="AU18" s="45">
        <f t="shared" si="7"/>
        <v>180</v>
      </c>
      <c r="AV18" s="45">
        <f t="shared" si="7"/>
        <v>180</v>
      </c>
      <c r="AW18" s="45">
        <f t="shared" si="7"/>
        <v>0</v>
      </c>
      <c r="AX18" s="48">
        <f t="shared" si="7"/>
        <v>90</v>
      </c>
      <c r="AY18" s="48">
        <f t="shared" si="7"/>
        <v>90</v>
      </c>
      <c r="AZ18" s="48">
        <f t="shared" si="7"/>
        <v>180</v>
      </c>
      <c r="BA18" s="48">
        <f t="shared" si="7"/>
        <v>0</v>
      </c>
      <c r="BB18" s="48">
        <f t="shared" si="7"/>
        <v>0</v>
      </c>
      <c r="BC18" s="48">
        <f t="shared" si="7"/>
        <v>180</v>
      </c>
      <c r="BD18" s="45">
        <f t="shared" si="7"/>
        <v>180</v>
      </c>
      <c r="BE18" s="45">
        <f t="shared" si="7"/>
        <v>180</v>
      </c>
      <c r="BF18" s="45">
        <f t="shared" si="7"/>
        <v>270</v>
      </c>
      <c r="BG18" s="48">
        <f t="shared" si="7"/>
        <v>0</v>
      </c>
      <c r="BH18" s="48">
        <f t="shared" si="7"/>
        <v>0</v>
      </c>
      <c r="BI18" s="48">
        <f t="shared" si="7"/>
        <v>270</v>
      </c>
      <c r="BJ18" s="45">
        <f t="shared" si="7"/>
        <v>90</v>
      </c>
      <c r="BK18" s="45">
        <f t="shared" si="7"/>
        <v>180</v>
      </c>
      <c r="BL18" s="45">
        <f t="shared" si="7"/>
        <v>0</v>
      </c>
      <c r="BM18" s="48">
        <f t="shared" si="7"/>
        <v>180</v>
      </c>
      <c r="BN18" s="48">
        <f t="shared" si="7"/>
        <v>0</v>
      </c>
    </row>
    <row r="19" spans="1:66" ht="13.8" thickBot="1" x14ac:dyDescent="0.3">
      <c r="A19" s="7"/>
      <c r="B19" s="91"/>
      <c r="C19" s="232" t="s">
        <v>768</v>
      </c>
      <c r="D19" s="233"/>
      <c r="E19" s="8"/>
      <c r="F19" s="13" t="s">
        <v>199</v>
      </c>
      <c r="G19" s="8"/>
      <c r="H19" s="8"/>
      <c r="I19" s="11"/>
      <c r="J19" s="11"/>
      <c r="K19" s="11"/>
      <c r="L19" s="8"/>
      <c r="M19" s="8"/>
      <c r="N19" s="8"/>
      <c r="O19" s="8"/>
      <c r="P19" s="19"/>
      <c r="Q19" s="19"/>
      <c r="R19" s="19"/>
      <c r="S19" s="9"/>
      <c r="U19" s="34"/>
      <c r="V19" s="51"/>
      <c r="W19" s="36"/>
      <c r="X19" s="37"/>
      <c r="Y19" s="36"/>
      <c r="Z19" s="37"/>
      <c r="AA19" s="103"/>
      <c r="AB19" s="104"/>
      <c r="AD19" s="23"/>
      <c r="AE19" s="45"/>
      <c r="AF19" s="45"/>
      <c r="AG19" s="45"/>
      <c r="AH19" s="45"/>
      <c r="AI19" s="45"/>
      <c r="AJ19" s="45"/>
      <c r="AK19" s="45"/>
      <c r="AL19" s="48"/>
      <c r="AM19" s="48"/>
      <c r="AN19" s="48"/>
      <c r="AO19" s="48"/>
      <c r="AP19" s="48"/>
      <c r="AQ19" s="48"/>
      <c r="AR19" s="45"/>
      <c r="AS19" s="45"/>
      <c r="AT19" s="45"/>
      <c r="AU19" s="45"/>
      <c r="AV19" s="45"/>
      <c r="AW19" s="45"/>
      <c r="AX19" s="48"/>
      <c r="AY19" s="48"/>
      <c r="AZ19" s="48"/>
      <c r="BA19" s="48"/>
      <c r="BB19" s="48"/>
      <c r="BC19" s="48"/>
      <c r="BD19" s="45"/>
      <c r="BE19" s="45"/>
      <c r="BF19" s="45"/>
      <c r="BG19" s="48"/>
      <c r="BH19" s="48"/>
      <c r="BI19" s="48"/>
      <c r="BJ19" s="45"/>
      <c r="BK19" s="45"/>
      <c r="BL19" s="45"/>
      <c r="BM19" s="48"/>
      <c r="BN19" s="48"/>
    </row>
    <row r="20" spans="1:66" ht="13.8" thickBot="1" x14ac:dyDescent="0.3">
      <c r="A20" s="7"/>
      <c r="B20" s="91"/>
      <c r="C20" s="97" t="s">
        <v>932</v>
      </c>
      <c r="D20" s="170"/>
      <c r="E20" s="12" t="s">
        <v>196</v>
      </c>
      <c r="F20" s="57">
        <f ca="1">ROUNDUP(K28/1000,0)</f>
        <v>6</v>
      </c>
      <c r="G20" s="8"/>
      <c r="H20" s="8"/>
      <c r="I20" s="11"/>
      <c r="J20" s="11"/>
      <c r="K20" s="11"/>
      <c r="L20" s="8"/>
      <c r="M20" s="8"/>
      <c r="N20" s="8"/>
      <c r="O20" s="8"/>
      <c r="P20" s="8"/>
      <c r="Q20" s="8"/>
      <c r="R20" s="8"/>
      <c r="S20" s="9"/>
      <c r="U20" s="34"/>
      <c r="V20" s="51"/>
      <c r="W20" s="36"/>
      <c r="X20" s="37"/>
      <c r="Y20" s="36"/>
      <c r="Z20" s="37"/>
      <c r="AA20" s="103"/>
      <c r="AB20" s="104"/>
      <c r="AD20" s="23"/>
      <c r="AE20" s="45"/>
      <c r="AF20" s="45"/>
      <c r="AG20" s="45"/>
      <c r="AH20" s="45"/>
      <c r="AI20" s="45"/>
      <c r="AJ20" s="45"/>
      <c r="AK20" s="45"/>
      <c r="AL20" s="48"/>
      <c r="AM20" s="48"/>
      <c r="AN20" s="48"/>
      <c r="AO20" s="48"/>
      <c r="AP20" s="48"/>
      <c r="AQ20" s="48"/>
      <c r="AR20" s="45"/>
      <c r="AS20" s="45"/>
      <c r="AT20" s="45"/>
      <c r="AU20" s="45"/>
      <c r="AV20" s="45"/>
      <c r="AW20" s="45"/>
      <c r="AX20" s="48"/>
      <c r="AY20" s="48"/>
      <c r="AZ20" s="48"/>
      <c r="BA20" s="48"/>
      <c r="BB20" s="48"/>
      <c r="BC20" s="48"/>
      <c r="BD20" s="45"/>
      <c r="BE20" s="45"/>
      <c r="BF20" s="45"/>
      <c r="BG20" s="48"/>
      <c r="BH20" s="48"/>
      <c r="BI20" s="48"/>
      <c r="BJ20" s="45"/>
      <c r="BK20" s="45"/>
      <c r="BL20" s="45"/>
      <c r="BM20" s="48"/>
      <c r="BN20" s="48"/>
    </row>
    <row r="21" spans="1:66" ht="13.8" thickBot="1" x14ac:dyDescent="0.3">
      <c r="A21" s="7"/>
      <c r="B21" s="91"/>
      <c r="C21" s="98" t="s">
        <v>0</v>
      </c>
      <c r="D21" s="170"/>
      <c r="E21" s="12" t="s">
        <v>9</v>
      </c>
      <c r="F21" s="57" t="str">
        <f ca="1">"D"&amp;ROUNDUP(J28,0)</f>
        <v>D43</v>
      </c>
      <c r="G21" s="8"/>
      <c r="H21" s="8"/>
      <c r="I21" s="11"/>
      <c r="J21" s="11"/>
      <c r="K21" s="11"/>
      <c r="L21" s="8"/>
      <c r="M21" s="8"/>
      <c r="N21" s="8"/>
      <c r="O21" s="8"/>
      <c r="P21" s="8"/>
      <c r="Q21" s="8"/>
      <c r="R21" s="8"/>
      <c r="S21" s="9"/>
      <c r="U21" s="34"/>
      <c r="V21" s="51"/>
      <c r="W21" s="36"/>
      <c r="X21" s="37"/>
      <c r="Y21" s="36"/>
      <c r="Z21" s="37"/>
      <c r="AA21" s="103"/>
      <c r="AB21" s="104"/>
      <c r="AD21" s="23"/>
      <c r="AE21" s="45"/>
      <c r="AF21" s="45"/>
      <c r="AG21" s="45"/>
      <c r="AH21" s="45"/>
      <c r="AI21" s="45"/>
      <c r="AJ21" s="45"/>
      <c r="AK21" s="45"/>
      <c r="AL21" s="48"/>
      <c r="AM21" s="48"/>
      <c r="AN21" s="48"/>
      <c r="AO21" s="48"/>
      <c r="AP21" s="48"/>
      <c r="AQ21" s="48"/>
      <c r="AR21" s="45"/>
      <c r="AS21" s="45"/>
      <c r="AT21" s="45"/>
      <c r="AU21" s="45"/>
      <c r="AV21" s="45"/>
      <c r="AW21" s="45"/>
      <c r="AX21" s="48"/>
      <c r="AY21" s="48"/>
      <c r="AZ21" s="48"/>
      <c r="BA21" s="48"/>
      <c r="BB21" s="48"/>
      <c r="BC21" s="48"/>
      <c r="BD21" s="45"/>
      <c r="BE21" s="45"/>
      <c r="BF21" s="45"/>
      <c r="BG21" s="48"/>
      <c r="BH21" s="48"/>
      <c r="BI21" s="48"/>
      <c r="BJ21" s="45"/>
      <c r="BK21" s="45"/>
      <c r="BL21" s="45"/>
      <c r="BM21" s="48"/>
      <c r="BN21" s="48"/>
    </row>
    <row r="22" spans="1:66" ht="13.8" thickBot="1" x14ac:dyDescent="0.3">
      <c r="A22" s="7"/>
      <c r="B22" s="91"/>
      <c r="C22" s="98" t="s">
        <v>931</v>
      </c>
      <c r="D22" s="170"/>
      <c r="E22" s="8"/>
      <c r="F22" s="13" t="str">
        <f>IF(D9="Transport","10 ft by 10 ft","5 ft by 5 ft")</f>
        <v>5 ft by 5 ft</v>
      </c>
      <c r="G22" s="8"/>
      <c r="H22" s="8" t="s">
        <v>178</v>
      </c>
      <c r="I22" s="11">
        <f ca="1">IF($M$14=1,N17,IF($M$14=2,N18,(IF($M$14=3,N22,N25))))</f>
        <v>11.984</v>
      </c>
      <c r="J22" s="11">
        <f ca="1">IF(AND(D12="Yes",D13="No",J28&gt;=40),J28,IF(AND(D12="Yes",D13="No",J28&lt;40),40,IF(J28*0.83&gt;40,J28*0.83,40)))</f>
        <v>40</v>
      </c>
      <c r="K22" s="11">
        <f ca="1">IF(J22&gt;(J28*0.83),J22+$D$57*2,1.5*$J$28)</f>
        <v>69.103999999999999</v>
      </c>
      <c r="L22" s="8">
        <v>3</v>
      </c>
      <c r="M22" s="8" t="s">
        <v>187</v>
      </c>
      <c r="N22" s="8">
        <f ca="1">IF(J28/2&gt;20,J28/2,20)</f>
        <v>21.4</v>
      </c>
      <c r="O22" s="8"/>
      <c r="P22" s="8"/>
      <c r="Q22" s="8"/>
      <c r="R22" s="8"/>
      <c r="S22" s="9"/>
      <c r="U22" s="34"/>
      <c r="V22" s="51" t="s">
        <v>315</v>
      </c>
      <c r="W22" s="36">
        <f ca="1">$AG$34</f>
        <v>80.134391478439738</v>
      </c>
      <c r="X22" s="37">
        <f ca="1">$AG$36</f>
        <v>800803.80932238302</v>
      </c>
      <c r="Y22" s="36">
        <f ca="1">$AG$33</f>
        <v>26.058416669987185</v>
      </c>
      <c r="Z22" s="37">
        <f ca="1">$AG$35</f>
        <v>260330.30001195401</v>
      </c>
      <c r="AA22" s="38">
        <f>D27</f>
        <v>14</v>
      </c>
      <c r="AB22" s="41">
        <f t="shared" si="6"/>
        <v>4.2671999999999999</v>
      </c>
      <c r="AD22" s="23"/>
      <c r="AE22" s="45">
        <f t="shared" ref="AE22:BN22" si="8">ROUND((AE14*(PI()/180)),15)</f>
        <v>1.5707963267949001</v>
      </c>
      <c r="AF22" s="45">
        <f t="shared" si="8"/>
        <v>1.5707963267949001</v>
      </c>
      <c r="AG22" s="45">
        <f t="shared" si="8"/>
        <v>4.7123889803846897</v>
      </c>
      <c r="AH22" s="45">
        <f t="shared" si="8"/>
        <v>0</v>
      </c>
      <c r="AI22" s="45">
        <f t="shared" si="8"/>
        <v>3.14159265358979</v>
      </c>
      <c r="AJ22" s="45">
        <f t="shared" si="8"/>
        <v>3.14159265358979</v>
      </c>
      <c r="AK22" s="45">
        <f t="shared" si="8"/>
        <v>0</v>
      </c>
      <c r="AL22" s="48">
        <f t="shared" si="8"/>
        <v>1.5707963267949001</v>
      </c>
      <c r="AM22" s="48">
        <f t="shared" si="8"/>
        <v>4.7123889803846897</v>
      </c>
      <c r="AN22" s="48">
        <f t="shared" si="8"/>
        <v>0</v>
      </c>
      <c r="AO22" s="48">
        <f t="shared" si="8"/>
        <v>3.14159265358979</v>
      </c>
      <c r="AP22" s="48">
        <f t="shared" si="8"/>
        <v>3.14159265358979</v>
      </c>
      <c r="AQ22" s="48">
        <f t="shared" si="8"/>
        <v>0</v>
      </c>
      <c r="AR22" s="45">
        <f t="shared" si="8"/>
        <v>1.5707963267949001</v>
      </c>
      <c r="AS22" s="45">
        <f t="shared" si="8"/>
        <v>4.7123889803846897</v>
      </c>
      <c r="AT22" s="45">
        <f t="shared" si="8"/>
        <v>0</v>
      </c>
      <c r="AU22" s="45">
        <f t="shared" si="8"/>
        <v>3.14159265358979</v>
      </c>
      <c r="AV22" s="45">
        <f t="shared" si="8"/>
        <v>3.14159265358979</v>
      </c>
      <c r="AW22" s="45">
        <f t="shared" si="8"/>
        <v>0</v>
      </c>
      <c r="AX22" s="48">
        <f t="shared" si="8"/>
        <v>1.5707963267949001</v>
      </c>
      <c r="AY22" s="48">
        <f t="shared" si="8"/>
        <v>1.5707963267949001</v>
      </c>
      <c r="AZ22" s="48">
        <f t="shared" si="8"/>
        <v>3.14159265358979</v>
      </c>
      <c r="BA22" s="48">
        <f t="shared" si="8"/>
        <v>0</v>
      </c>
      <c r="BB22" s="48">
        <f t="shared" si="8"/>
        <v>0</v>
      </c>
      <c r="BC22" s="48">
        <f t="shared" si="8"/>
        <v>3.14159265358979</v>
      </c>
      <c r="BD22" s="45">
        <f t="shared" si="8"/>
        <v>3.14159265358979</v>
      </c>
      <c r="BE22" s="45">
        <f t="shared" si="8"/>
        <v>3.14159265358979</v>
      </c>
      <c r="BF22" s="45">
        <f t="shared" si="8"/>
        <v>4.7123889803846897</v>
      </c>
      <c r="BG22" s="48">
        <f t="shared" si="8"/>
        <v>0</v>
      </c>
      <c r="BH22" s="48">
        <f t="shared" si="8"/>
        <v>0</v>
      </c>
      <c r="BI22" s="48">
        <f t="shared" si="8"/>
        <v>4.7123889803846897</v>
      </c>
      <c r="BJ22" s="45">
        <f t="shared" si="8"/>
        <v>1.5707963267949001</v>
      </c>
      <c r="BK22" s="45">
        <f t="shared" si="8"/>
        <v>3.14159265358979</v>
      </c>
      <c r="BL22" s="45">
        <f t="shared" si="8"/>
        <v>0</v>
      </c>
      <c r="BM22" s="48">
        <f t="shared" si="8"/>
        <v>3.14159265358979</v>
      </c>
      <c r="BN22" s="48">
        <f t="shared" si="8"/>
        <v>0</v>
      </c>
    </row>
    <row r="23" spans="1:66" ht="13.8" thickBot="1" x14ac:dyDescent="0.3">
      <c r="A23" s="7"/>
      <c r="B23" s="91"/>
      <c r="C23" s="8"/>
      <c r="D23" s="8"/>
      <c r="E23" s="10"/>
      <c r="F23" s="8"/>
      <c r="G23" s="8"/>
      <c r="H23" s="8"/>
      <c r="I23" s="11"/>
      <c r="J23" s="11"/>
      <c r="K23" s="11"/>
      <c r="L23" s="8"/>
      <c r="M23" s="8"/>
      <c r="N23" s="8"/>
      <c r="O23" s="8"/>
      <c r="P23" s="8"/>
      <c r="Q23" s="8"/>
      <c r="R23" s="8"/>
      <c r="S23" s="9"/>
      <c r="U23" s="34"/>
      <c r="V23" s="51"/>
      <c r="W23" s="36"/>
      <c r="X23" s="37"/>
      <c r="Y23" s="36"/>
      <c r="Z23" s="37"/>
      <c r="AA23" s="38"/>
      <c r="AB23" s="41"/>
      <c r="AD23" s="23"/>
      <c r="AE23" s="45"/>
      <c r="AF23" s="45"/>
      <c r="AG23" s="45"/>
      <c r="AH23" s="45"/>
      <c r="AI23" s="45"/>
      <c r="AJ23" s="45"/>
      <c r="AK23" s="45"/>
      <c r="AL23" s="48"/>
      <c r="AM23" s="48"/>
      <c r="AN23" s="48"/>
      <c r="AO23" s="48"/>
      <c r="AP23" s="48"/>
      <c r="AQ23" s="48"/>
      <c r="AR23" s="45"/>
      <c r="AS23" s="45"/>
      <c r="AT23" s="45"/>
      <c r="AU23" s="45"/>
      <c r="AV23" s="45"/>
      <c r="AW23" s="45"/>
      <c r="AX23" s="48"/>
      <c r="AY23" s="48"/>
      <c r="AZ23" s="48"/>
      <c r="BA23" s="48"/>
      <c r="BB23" s="48"/>
      <c r="BC23" s="48"/>
      <c r="BD23" s="45"/>
      <c r="BE23" s="45"/>
      <c r="BF23" s="45"/>
      <c r="BG23" s="48"/>
      <c r="BH23" s="48"/>
      <c r="BI23" s="48"/>
      <c r="BJ23" s="45"/>
      <c r="BK23" s="45"/>
      <c r="BL23" s="45"/>
      <c r="BM23" s="48"/>
      <c r="BN23" s="48"/>
    </row>
    <row r="24" spans="1:66" ht="13.8" thickBot="1" x14ac:dyDescent="0.3">
      <c r="A24" s="7"/>
      <c r="B24" s="91"/>
      <c r="C24" s="232" t="s">
        <v>774</v>
      </c>
      <c r="D24" s="233"/>
      <c r="E24" s="10"/>
      <c r="F24" s="8"/>
      <c r="G24" s="8"/>
      <c r="H24" s="8"/>
      <c r="I24" s="11"/>
      <c r="J24" s="11"/>
      <c r="K24" s="11"/>
      <c r="L24" s="8"/>
      <c r="M24" s="8"/>
      <c r="N24" s="8"/>
      <c r="O24" s="8"/>
      <c r="P24" s="8"/>
      <c r="Q24" s="8"/>
      <c r="R24" s="8"/>
      <c r="S24" s="9"/>
      <c r="U24" s="34"/>
      <c r="V24" s="51"/>
      <c r="W24" s="36"/>
      <c r="X24" s="37"/>
      <c r="Y24" s="36"/>
      <c r="Z24" s="37"/>
      <c r="AA24" s="38"/>
      <c r="AB24" s="41"/>
      <c r="AD24" s="23"/>
      <c r="AE24" s="45"/>
      <c r="AF24" s="45"/>
      <c r="AG24" s="45"/>
      <c r="AH24" s="45"/>
      <c r="AI24" s="45"/>
      <c r="AJ24" s="45"/>
      <c r="AK24" s="45"/>
      <c r="AL24" s="48"/>
      <c r="AM24" s="48"/>
      <c r="AN24" s="48"/>
      <c r="AO24" s="48"/>
      <c r="AP24" s="48"/>
      <c r="AQ24" s="48"/>
      <c r="AR24" s="45"/>
      <c r="AS24" s="45"/>
      <c r="AT24" s="45"/>
      <c r="AU24" s="45"/>
      <c r="AV24" s="45"/>
      <c r="AW24" s="45"/>
      <c r="AX24" s="48"/>
      <c r="AY24" s="48"/>
      <c r="AZ24" s="48"/>
      <c r="BA24" s="48"/>
      <c r="BB24" s="48"/>
      <c r="BC24" s="48"/>
      <c r="BD24" s="45"/>
      <c r="BE24" s="45"/>
      <c r="BF24" s="45"/>
      <c r="BG24" s="48"/>
      <c r="BH24" s="48"/>
      <c r="BI24" s="48"/>
      <c r="BJ24" s="45"/>
      <c r="BK24" s="45"/>
      <c r="BL24" s="45"/>
      <c r="BM24" s="48"/>
      <c r="BN24" s="48"/>
    </row>
    <row r="25" spans="1:66" ht="13.8" thickBot="1" x14ac:dyDescent="0.3">
      <c r="A25" s="7"/>
      <c r="B25" s="91"/>
      <c r="C25" s="188" t="s">
        <v>743</v>
      </c>
      <c r="D25" s="190">
        <v>260330.3</v>
      </c>
      <c r="E25" s="8"/>
      <c r="F25" s="8"/>
      <c r="G25" s="8"/>
      <c r="H25" s="8" t="s">
        <v>180</v>
      </c>
      <c r="I25" s="11">
        <f ca="1">IF(30&gt;(0.42*J28),30,0.42*J28)</f>
        <v>30</v>
      </c>
      <c r="J25" s="11">
        <f ca="1">IF(J28*0.83&gt;50,J28*0.83,50)</f>
        <v>50</v>
      </c>
      <c r="K25" s="11">
        <f ca="1">IF(AND(J25&gt;J28*0.83,J25+D57*2&lt;100),100,IF(J25+D57*2&gt;100,J25+D57*2,IF(J28*1.66&lt;100,100,J28*1.66)))</f>
        <v>100</v>
      </c>
      <c r="L25" s="8">
        <v>4</v>
      </c>
      <c r="M25" s="8" t="s">
        <v>188</v>
      </c>
      <c r="N25" s="8">
        <f ca="1">IF(J28/2&gt;30,J28/2,30)</f>
        <v>30</v>
      </c>
      <c r="O25" s="8"/>
      <c r="P25" s="8"/>
      <c r="Q25" s="8"/>
      <c r="R25" s="8"/>
      <c r="S25" s="9"/>
      <c r="U25" s="34"/>
      <c r="V25" s="51" t="s">
        <v>316</v>
      </c>
      <c r="W25" s="36">
        <f ca="1">$AH$34</f>
        <v>80.134269639999943</v>
      </c>
      <c r="X25" s="37">
        <f ca="1">$AH$36</f>
        <v>800803.37070400012</v>
      </c>
      <c r="Y25" s="36">
        <f ca="1">$AH$33</f>
        <v>26.058471693524542</v>
      </c>
      <c r="Z25" s="37">
        <f ca="1">$AH$35</f>
        <v>260330.49809668801</v>
      </c>
      <c r="AA25" s="38">
        <f>D27</f>
        <v>14</v>
      </c>
      <c r="AB25" s="41">
        <f t="shared" si="6"/>
        <v>4.2671999999999999</v>
      </c>
      <c r="AD25" s="23"/>
      <c r="AE25" s="45">
        <f t="shared" ref="AE25:BN25" si="9">ROUND(((AE15*1852)/6399598.4),15)</f>
        <v>0</v>
      </c>
      <c r="AF25" s="45">
        <f t="shared" ca="1" si="9"/>
        <v>9.5255977299999997E-7</v>
      </c>
      <c r="AG25" s="45">
        <f t="shared" ca="1" si="9"/>
        <v>9.5255977299999997E-7</v>
      </c>
      <c r="AH25" s="45">
        <f t="shared" ca="1" si="9"/>
        <v>9.5255977299999997E-7</v>
      </c>
      <c r="AI25" s="45">
        <f t="shared" ca="1" si="9"/>
        <v>9.5255977299999997E-7</v>
      </c>
      <c r="AJ25" s="45">
        <f t="shared" ca="1" si="9"/>
        <v>9.5255977299999997E-7</v>
      </c>
      <c r="AK25" s="45">
        <f t="shared" ca="1" si="9"/>
        <v>9.5255977299999997E-7</v>
      </c>
      <c r="AL25" s="48">
        <f t="shared" ca="1" si="9"/>
        <v>1.6456422630000001E-6</v>
      </c>
      <c r="AM25" s="48">
        <f t="shared" ca="1" si="9"/>
        <v>1.6456422630000001E-6</v>
      </c>
      <c r="AN25" s="48">
        <f t="shared" ca="1" si="9"/>
        <v>1.6456422630000001E-6</v>
      </c>
      <c r="AO25" s="48">
        <f t="shared" ca="1" si="9"/>
        <v>1.6456422630000001E-6</v>
      </c>
      <c r="AP25" s="48">
        <f t="shared" ca="1" si="9"/>
        <v>1.6456422630000001E-6</v>
      </c>
      <c r="AQ25" s="48">
        <f t="shared" ca="1" si="9"/>
        <v>1.6456422630000001E-6</v>
      </c>
      <c r="AR25" s="45">
        <f t="shared" ca="1" si="9"/>
        <v>2.2164160790000001E-6</v>
      </c>
      <c r="AS25" s="45">
        <f t="shared" ca="1" si="9"/>
        <v>2.2164160790000001E-6</v>
      </c>
      <c r="AT25" s="45">
        <f t="shared" ca="1" si="9"/>
        <v>2.2164160790000001E-6</v>
      </c>
      <c r="AU25" s="45">
        <f t="shared" ca="1" si="9"/>
        <v>2.2164160790000001E-6</v>
      </c>
      <c r="AV25" s="45">
        <f t="shared" ca="1" si="9"/>
        <v>2.2164160790000001E-6</v>
      </c>
      <c r="AW25" s="45">
        <f t="shared" ca="1" si="9"/>
        <v>2.2164160790000001E-6</v>
      </c>
      <c r="AX25" s="48">
        <f t="shared" ca="1" si="9"/>
        <v>1.9215759678100001E-4</v>
      </c>
      <c r="AY25" s="48">
        <f t="shared" ca="1" si="9"/>
        <v>1.6456422630000001E-6</v>
      </c>
      <c r="AZ25" s="48">
        <f t="shared" si="9"/>
        <v>1.1906997156999999E-5</v>
      </c>
      <c r="BA25" s="48">
        <f t="shared" si="9"/>
        <v>1.1906997156999999E-5</v>
      </c>
      <c r="BB25" s="48">
        <f t="shared" ca="1" si="9"/>
        <v>1.6456422630000001E-6</v>
      </c>
      <c r="BC25" s="48">
        <f t="shared" ca="1" si="9"/>
        <v>1.6456422630000001E-6</v>
      </c>
      <c r="BD25" s="45">
        <f t="shared" ca="1" si="9"/>
        <v>1.0261354894E-5</v>
      </c>
      <c r="BE25" s="45">
        <f t="shared" ca="1" si="9"/>
        <v>1.0261354894E-5</v>
      </c>
      <c r="BF25" s="45">
        <f t="shared" ca="1" si="9"/>
        <v>3.2912845260000001E-6</v>
      </c>
      <c r="BG25" s="48">
        <f t="shared" ca="1" si="9"/>
        <v>1.0261354894E-5</v>
      </c>
      <c r="BH25" s="48">
        <f t="shared" ca="1" si="9"/>
        <v>1.0261354894E-5</v>
      </c>
      <c r="BI25" s="48">
        <f t="shared" ca="1" si="9"/>
        <v>3.2912845260000001E-6</v>
      </c>
      <c r="BJ25" s="45">
        <f t="shared" ca="1" si="9"/>
        <v>9.6901619521999998E-5</v>
      </c>
      <c r="BK25" s="45">
        <f t="shared" ca="1" si="9"/>
        <v>6.7763197100000004E-6</v>
      </c>
      <c r="BL25" s="45">
        <f t="shared" ca="1" si="9"/>
        <v>6.7763197100000004E-6</v>
      </c>
      <c r="BM25" s="48">
        <f t="shared" ca="1" si="9"/>
        <v>1.1539118573E-5</v>
      </c>
      <c r="BN25" s="48">
        <f t="shared" ca="1" si="9"/>
        <v>1.1539118573E-5</v>
      </c>
    </row>
    <row r="26" spans="1:66" ht="13.8" thickBot="1" x14ac:dyDescent="0.3">
      <c r="A26" s="7"/>
      <c r="B26" s="91"/>
      <c r="C26" s="188" t="s">
        <v>744</v>
      </c>
      <c r="D26" s="190">
        <v>800803.59</v>
      </c>
      <c r="E26" s="8"/>
      <c r="F26" s="8"/>
      <c r="G26" s="8"/>
      <c r="H26" s="8"/>
      <c r="I26" s="8"/>
      <c r="J26" s="8"/>
      <c r="K26" s="8"/>
      <c r="L26" s="8"/>
      <c r="M26" s="8"/>
      <c r="N26" s="8"/>
      <c r="O26" s="8"/>
      <c r="P26" s="8"/>
      <c r="Q26" s="8"/>
      <c r="R26" s="8"/>
      <c r="S26" s="9"/>
      <c r="U26" s="34"/>
      <c r="V26" s="51" t="s">
        <v>317</v>
      </c>
      <c r="W26" s="36">
        <f ca="1">$AI$34</f>
        <v>80.134269639999943</v>
      </c>
      <c r="X26" s="37">
        <f ca="1">$AI$36</f>
        <v>800803.37070400012</v>
      </c>
      <c r="Y26" s="36">
        <f ca="1">$AI$33</f>
        <v>26.058361646475095</v>
      </c>
      <c r="Z26" s="37">
        <f ca="1">$AI$35</f>
        <v>260330.10192731</v>
      </c>
      <c r="AA26" s="38">
        <f>D27</f>
        <v>14</v>
      </c>
      <c r="AB26" s="41">
        <f t="shared" si="6"/>
        <v>4.2671999999999999</v>
      </c>
      <c r="AD26" s="23"/>
      <c r="AE26" s="45">
        <f t="shared" ref="AE26:BN26" si="10">ROUND(((((COS(((((AE15*1852)/6399598.4)*(COS(AE22)))/2)+AE16))*(COS(((((AE15*1852)/6399598.4)*(COS(AE22)))/2)+AE16)))/148.38)+1),15)</f>
        <v>1.00543891812539</v>
      </c>
      <c r="AF26" s="45">
        <f t="shared" ca="1" si="10"/>
        <v>1.00543891812539</v>
      </c>
      <c r="AG26" s="45">
        <f t="shared" ca="1" si="10"/>
        <v>1.00543891812539</v>
      </c>
      <c r="AH26" s="45">
        <f t="shared" ca="1" si="10"/>
        <v>1.0054389155919501</v>
      </c>
      <c r="AI26" s="45">
        <f t="shared" ca="1" si="10"/>
        <v>1.0054389206588199</v>
      </c>
      <c r="AJ26" s="45">
        <f t="shared" ca="1" si="10"/>
        <v>1.0054389206588199</v>
      </c>
      <c r="AK26" s="45">
        <f t="shared" ca="1" si="10"/>
        <v>1.0054389155919501</v>
      </c>
      <c r="AL26" s="48">
        <f t="shared" ca="1" si="10"/>
        <v>1.00543891812539</v>
      </c>
      <c r="AM26" s="48">
        <f t="shared" ca="1" si="10"/>
        <v>1.00543891812539</v>
      </c>
      <c r="AN26" s="48">
        <f t="shared" ca="1" si="10"/>
        <v>1.0054389137486299</v>
      </c>
      <c r="AO26" s="48">
        <f t="shared" ca="1" si="10"/>
        <v>1.0054389225021501</v>
      </c>
      <c r="AP26" s="48">
        <f t="shared" ca="1" si="10"/>
        <v>1.0054389225021501</v>
      </c>
      <c r="AQ26" s="48">
        <f t="shared" ca="1" si="10"/>
        <v>1.0054389137486299</v>
      </c>
      <c r="AR26" s="45">
        <f t="shared" ca="1" si="10"/>
        <v>1.00543891812539</v>
      </c>
      <c r="AS26" s="45">
        <f t="shared" ca="1" si="10"/>
        <v>1.00543891812539</v>
      </c>
      <c r="AT26" s="45">
        <f t="shared" ca="1" si="10"/>
        <v>1.00543891223059</v>
      </c>
      <c r="AU26" s="45">
        <f t="shared" ca="1" si="10"/>
        <v>1.00543892402018</v>
      </c>
      <c r="AV26" s="45">
        <f t="shared" ca="1" si="10"/>
        <v>1.00543892402018</v>
      </c>
      <c r="AW26" s="45">
        <f t="shared" ca="1" si="10"/>
        <v>1.00543891223059</v>
      </c>
      <c r="AX26" s="48">
        <f t="shared" ca="1" si="10"/>
        <v>1.00543891812539</v>
      </c>
      <c r="AY26" s="48">
        <f t="shared" ca="1" si="10"/>
        <v>1.00543891812539</v>
      </c>
      <c r="AZ26" s="48">
        <f t="shared" ca="1" si="10"/>
        <v>1.00543894984143</v>
      </c>
      <c r="BA26" s="48">
        <f t="shared" ca="1" si="10"/>
        <v>1.0054388865056001</v>
      </c>
      <c r="BB26" s="48">
        <f t="shared" ca="1" si="10"/>
        <v>1.0054389137486299</v>
      </c>
      <c r="BC26" s="48">
        <f t="shared" ca="1" si="10"/>
        <v>1.0054389225021501</v>
      </c>
      <c r="BD26" s="45">
        <f t="shared" ca="1" si="10"/>
        <v>1.0054389542415101</v>
      </c>
      <c r="BE26" s="45">
        <f t="shared" ca="1" si="10"/>
        <v>1.0054389542415101</v>
      </c>
      <c r="BF26" s="45">
        <f t="shared" ca="1" si="10"/>
        <v>1.0054389269505299</v>
      </c>
      <c r="BG26" s="48">
        <f t="shared" ca="1" si="10"/>
        <v>1.00543888200889</v>
      </c>
      <c r="BH26" s="48">
        <f t="shared" ca="1" si="10"/>
        <v>1.00543888200889</v>
      </c>
      <c r="BI26" s="48">
        <f t="shared" ca="1" si="10"/>
        <v>1.0054389093002201</v>
      </c>
      <c r="BJ26" s="45">
        <f t="shared" ca="1" si="10"/>
        <v>1.00543891812539</v>
      </c>
      <c r="BK26" s="45">
        <f t="shared" ca="1" si="10"/>
        <v>1.00543893615975</v>
      </c>
      <c r="BL26" s="45">
        <f t="shared" ca="1" si="10"/>
        <v>1.0054389001150701</v>
      </c>
      <c r="BM26" s="48">
        <f t="shared" ca="1" si="10"/>
        <v>1.0054389488268201</v>
      </c>
      <c r="BN26" s="48">
        <f t="shared" ca="1" si="10"/>
        <v>1.00543888744782</v>
      </c>
    </row>
    <row r="27" spans="1:66" ht="13.8" thickBot="1" x14ac:dyDescent="0.3">
      <c r="A27" s="7"/>
      <c r="B27" s="91"/>
      <c r="C27" s="189" t="s">
        <v>933</v>
      </c>
      <c r="D27" s="190">
        <v>14</v>
      </c>
      <c r="E27" s="10" t="str">
        <f>IF(D27&gt;1000,"See Figure 2-5, 3-5, or 4-5 for FATO length adjustment","")</f>
        <v/>
      </c>
      <c r="F27" s="8"/>
      <c r="G27" s="8"/>
      <c r="H27" s="8"/>
      <c r="I27" s="8" t="s">
        <v>197</v>
      </c>
      <c r="J27" s="8" t="s">
        <v>98</v>
      </c>
      <c r="K27" s="8" t="s">
        <v>196</v>
      </c>
      <c r="L27" s="8"/>
      <c r="M27" s="8"/>
      <c r="N27" s="8"/>
      <c r="O27" s="8"/>
      <c r="P27" s="8"/>
      <c r="Q27" s="8"/>
      <c r="R27" s="8"/>
      <c r="S27" s="9"/>
      <c r="U27" s="34"/>
      <c r="V27" s="51" t="s">
        <v>318</v>
      </c>
      <c r="W27" s="36">
        <f ca="1">$AJ$34</f>
        <v>80.134391479999891</v>
      </c>
      <c r="X27" s="37">
        <f ca="1">$AJ$36</f>
        <v>800803.80932799994</v>
      </c>
      <c r="Y27" s="36">
        <f ca="1">$AJ$33</f>
        <v>26.058361646475095</v>
      </c>
      <c r="Z27" s="37">
        <f ca="1">$AJ$35</f>
        <v>260330.10192731</v>
      </c>
      <c r="AA27" s="38">
        <f>D27</f>
        <v>14</v>
      </c>
      <c r="AB27" s="41">
        <f t="shared" si="6"/>
        <v>4.2671999999999999</v>
      </c>
      <c r="AD27" s="23"/>
      <c r="AE27" s="45">
        <f t="shared" ref="AE27:BN27" si="11">((AE26*AE26)*(AE25*AE25))*(SIN(AE22))*(COS(AE22))</f>
        <v>0</v>
      </c>
      <c r="AF27" s="45">
        <f t="shared" ca="1" si="11"/>
        <v>-3.2025982564422161E-27</v>
      </c>
      <c r="AG27" s="45">
        <f t="shared" ca="1" si="11"/>
        <v>1.6856827142407713E-28</v>
      </c>
      <c r="AH27" s="45">
        <f t="shared" ca="1" si="11"/>
        <v>0</v>
      </c>
      <c r="AI27" s="45">
        <f t="shared" ca="1" si="11"/>
        <v>-2.9638180827710287E-27</v>
      </c>
      <c r="AJ27" s="45">
        <f t="shared" ca="1" si="11"/>
        <v>-2.9638180827710287E-27</v>
      </c>
      <c r="AK27" s="45">
        <f t="shared" ca="1" si="11"/>
        <v>0</v>
      </c>
      <c r="AL27" s="48">
        <f t="shared" ca="1" si="11"/>
        <v>-9.5584803830527357E-27</v>
      </c>
      <c r="AM27" s="48">
        <f t="shared" ca="1" si="11"/>
        <v>5.0310915906202484E-28</v>
      </c>
      <c r="AN27" s="48">
        <f t="shared" ca="1" si="11"/>
        <v>0</v>
      </c>
      <c r="AO27" s="48">
        <f t="shared" ca="1" si="11"/>
        <v>-8.8458166896187493E-27</v>
      </c>
      <c r="AP27" s="48">
        <f t="shared" ca="1" si="11"/>
        <v>-8.8458166896187493E-27</v>
      </c>
      <c r="AQ27" s="48">
        <f t="shared" ca="1" si="11"/>
        <v>0</v>
      </c>
      <c r="AR27" s="45">
        <f t="shared" ca="1" si="11"/>
        <v>-1.7338861311031952E-26</v>
      </c>
      <c r="AS27" s="45">
        <f t="shared" ca="1" si="11"/>
        <v>9.1262832413747658E-28</v>
      </c>
      <c r="AT27" s="45">
        <f t="shared" ca="1" si="11"/>
        <v>0</v>
      </c>
      <c r="AU27" s="45">
        <f t="shared" ca="1" si="11"/>
        <v>-1.6046105979271538E-26</v>
      </c>
      <c r="AV27" s="45">
        <f t="shared" ca="1" si="11"/>
        <v>-1.6046105979271538E-26</v>
      </c>
      <c r="AW27" s="45">
        <f t="shared" ca="1" si="11"/>
        <v>0</v>
      </c>
      <c r="AX27" s="48">
        <f t="shared" ca="1" si="11"/>
        <v>-1.3032661212485152E-22</v>
      </c>
      <c r="AY27" s="48">
        <f t="shared" ca="1" si="11"/>
        <v>-9.5584803830527357E-27</v>
      </c>
      <c r="AZ27" s="48">
        <f t="shared" ca="1" si="11"/>
        <v>-4.6309660188767419E-25</v>
      </c>
      <c r="BA27" s="48">
        <f t="shared" ca="1" si="11"/>
        <v>0</v>
      </c>
      <c r="BB27" s="48">
        <f t="shared" ca="1" si="11"/>
        <v>0</v>
      </c>
      <c r="BC27" s="48">
        <f t="shared" ca="1" si="11"/>
        <v>-8.8458166896187493E-27</v>
      </c>
      <c r="BD27" s="45">
        <f t="shared" ca="1" si="11"/>
        <v>-3.4393511176708805E-25</v>
      </c>
      <c r="BE27" s="45">
        <f t="shared" ca="1" si="11"/>
        <v>-3.4393511176708805E-25</v>
      </c>
      <c r="BF27" s="45">
        <f t="shared" ca="1" si="11"/>
        <v>2.0124366715760237E-27</v>
      </c>
      <c r="BG27" s="48">
        <f t="shared" ca="1" si="11"/>
        <v>0</v>
      </c>
      <c r="BH27" s="48">
        <f t="shared" ca="1" si="11"/>
        <v>0</v>
      </c>
      <c r="BI27" s="48">
        <f t="shared" ca="1" si="11"/>
        <v>2.0124366009200555E-27</v>
      </c>
      <c r="BJ27" s="45">
        <f t="shared" ca="1" si="11"/>
        <v>-3.3142102765764309E-23</v>
      </c>
      <c r="BK27" s="45">
        <f t="shared" ca="1" si="11"/>
        <v>-1.4998742825802385E-25</v>
      </c>
      <c r="BL27" s="45">
        <f t="shared" ca="1" si="11"/>
        <v>0</v>
      </c>
      <c r="BM27" s="48">
        <f t="shared" ca="1" si="11"/>
        <v>-4.3492299059469143E-25</v>
      </c>
      <c r="BN27" s="48">
        <f t="shared" ca="1" si="11"/>
        <v>0</v>
      </c>
    </row>
    <row r="28" spans="1:66" ht="13.8" thickBot="1" x14ac:dyDescent="0.3">
      <c r="A28" s="7"/>
      <c r="B28" s="94"/>
      <c r="C28" s="188" t="s">
        <v>200</v>
      </c>
      <c r="D28" s="191">
        <v>90</v>
      </c>
      <c r="E28" s="8"/>
      <c r="F28" s="8"/>
      <c r="G28" s="8"/>
      <c r="H28" s="8"/>
      <c r="I28" s="8">
        <f ca="1">IF(OR(D20="",D21="",D22=""),D41,D22)</f>
        <v>36.1</v>
      </c>
      <c r="J28" s="8">
        <f ca="1">IF(OR(D20="",D21="",D22=""),D38,D22)</f>
        <v>42.8</v>
      </c>
      <c r="K28" s="8">
        <f ca="1">IF(OR(D20="",D21="",D22=""),D37,D21)</f>
        <v>5732</v>
      </c>
      <c r="L28" s="8"/>
      <c r="M28" s="8" t="s">
        <v>179</v>
      </c>
      <c r="N28" s="8"/>
      <c r="O28" s="8"/>
      <c r="P28" s="8"/>
      <c r="Q28" s="8"/>
      <c r="R28" s="8"/>
      <c r="S28" s="9"/>
      <c r="U28" s="35"/>
      <c r="V28" s="52" t="s">
        <v>319</v>
      </c>
      <c r="W28" s="36">
        <f ca="1">$AK$34</f>
        <v>80.134391479999891</v>
      </c>
      <c r="X28" s="37">
        <f ca="1">$AK$36</f>
        <v>800803.80932799994</v>
      </c>
      <c r="Y28" s="36">
        <f ca="1">$AK$33</f>
        <v>26.058471693524542</v>
      </c>
      <c r="Z28" s="37">
        <f ca="1">$AK$35</f>
        <v>260330.49809668801</v>
      </c>
      <c r="AA28" s="39">
        <f>D27</f>
        <v>14</v>
      </c>
      <c r="AB28" s="42">
        <f t="shared" si="6"/>
        <v>4.2671999999999999</v>
      </c>
      <c r="AD28" s="23"/>
      <c r="AE28" s="45">
        <f t="shared" ref="AE28:BN28" si="12">((((AE15*1852)/6399598.4)*(COS(AE22)))/2)+AE16</f>
        <v>0.45480516874807703</v>
      </c>
      <c r="AF28" s="45">
        <f t="shared" ca="1" si="12"/>
        <v>0.45480516874807703</v>
      </c>
      <c r="AG28" s="45">
        <f t="shared" ca="1" si="12"/>
        <v>0.45480516874807703</v>
      </c>
      <c r="AH28" s="45">
        <f t="shared" ca="1" si="12"/>
        <v>0.45480564502796333</v>
      </c>
      <c r="AI28" s="45">
        <f t="shared" ca="1" si="12"/>
        <v>0.45480469246819072</v>
      </c>
      <c r="AJ28" s="45">
        <f t="shared" ca="1" si="12"/>
        <v>0.45480469246819072</v>
      </c>
      <c r="AK28" s="45">
        <f t="shared" ca="1" si="12"/>
        <v>0.45480564502796333</v>
      </c>
      <c r="AL28" s="48">
        <f t="shared" ca="1" si="12"/>
        <v>0.45480516874807703</v>
      </c>
      <c r="AM28" s="48">
        <f t="shared" ca="1" si="12"/>
        <v>0.45480516874807703</v>
      </c>
      <c r="AN28" s="48">
        <f t="shared" ca="1" si="12"/>
        <v>0.45480599156920859</v>
      </c>
      <c r="AO28" s="48">
        <f t="shared" ca="1" si="12"/>
        <v>0.45480434592694546</v>
      </c>
      <c r="AP28" s="48">
        <f t="shared" ca="1" si="12"/>
        <v>0.45480434592694546</v>
      </c>
      <c r="AQ28" s="48">
        <f t="shared" ca="1" si="12"/>
        <v>0.45480599156920859</v>
      </c>
      <c r="AR28" s="45">
        <f t="shared" ca="1" si="12"/>
        <v>0.45480516874807703</v>
      </c>
      <c r="AS28" s="45">
        <f t="shared" ca="1" si="12"/>
        <v>0.45480516874807703</v>
      </c>
      <c r="AT28" s="45">
        <f t="shared" ca="1" si="12"/>
        <v>0.45480627695611647</v>
      </c>
      <c r="AU28" s="45">
        <f t="shared" ca="1" si="12"/>
        <v>0.45480406054003758</v>
      </c>
      <c r="AV28" s="45">
        <f t="shared" ca="1" si="12"/>
        <v>0.45480406054003758</v>
      </c>
      <c r="AW28" s="45">
        <f t="shared" ca="1" si="12"/>
        <v>0.45480627695611647</v>
      </c>
      <c r="AX28" s="48">
        <f t="shared" ca="1" si="12"/>
        <v>0.45480516874807703</v>
      </c>
      <c r="AY28" s="48">
        <f t="shared" ca="1" si="12"/>
        <v>0.45480516874807703</v>
      </c>
      <c r="AZ28" s="48">
        <f t="shared" ca="1" si="12"/>
        <v>0.45479920617378633</v>
      </c>
      <c r="BA28" s="48">
        <f t="shared" ca="1" si="12"/>
        <v>0.45481111317094369</v>
      </c>
      <c r="BB28" s="48">
        <f t="shared" ca="1" si="12"/>
        <v>0.45480599156920859</v>
      </c>
      <c r="BC28" s="48">
        <f t="shared" ca="1" si="12"/>
        <v>0.45480434592694546</v>
      </c>
      <c r="BD28" s="45">
        <f t="shared" ca="1" si="12"/>
        <v>0.4547983789606429</v>
      </c>
      <c r="BE28" s="45">
        <f t="shared" ca="1" si="12"/>
        <v>0.4547983789606429</v>
      </c>
      <c r="BF28" s="45">
        <f t="shared" ca="1" si="12"/>
        <v>0.45480350963809002</v>
      </c>
      <c r="BG28" s="48">
        <f t="shared" ca="1" si="12"/>
        <v>0.4548119585355111</v>
      </c>
      <c r="BH28" s="48">
        <f t="shared" ca="1" si="12"/>
        <v>0.4548119585355111</v>
      </c>
      <c r="BI28" s="48">
        <f t="shared" ca="1" si="12"/>
        <v>0.45480682785806398</v>
      </c>
      <c r="BJ28" s="45">
        <f t="shared" ca="1" si="12"/>
        <v>0.45480516874807703</v>
      </c>
      <c r="BK28" s="45">
        <f t="shared" ca="1" si="12"/>
        <v>0.45480177831929386</v>
      </c>
      <c r="BL28" s="45">
        <f t="shared" ca="1" si="12"/>
        <v>0.4548085546390041</v>
      </c>
      <c r="BM28" s="48">
        <f t="shared" ca="1" si="12"/>
        <v>0.45479939691986238</v>
      </c>
      <c r="BN28" s="48">
        <f t="shared" ca="1" si="12"/>
        <v>0.45481093603843559</v>
      </c>
    </row>
    <row r="29" spans="1:66" ht="13.8" thickBot="1" x14ac:dyDescent="0.3">
      <c r="A29" s="7"/>
      <c r="B29" s="94"/>
      <c r="C29" s="188" t="s">
        <v>201</v>
      </c>
      <c r="D29" s="190">
        <v>90</v>
      </c>
      <c r="E29" s="8"/>
      <c r="F29" s="8"/>
      <c r="G29" s="8"/>
      <c r="H29" s="8" t="str">
        <f>HLOOKUP(D17,'Helicopter Data'!C1:BZ2,2,FALSE)</f>
        <v>C</v>
      </c>
      <c r="I29" s="8"/>
      <c r="J29" s="8"/>
      <c r="K29" s="8"/>
      <c r="L29" s="8">
        <v>1</v>
      </c>
      <c r="M29" s="8" t="s">
        <v>185</v>
      </c>
      <c r="N29" s="8">
        <f ca="1">IF(J28*0.28&gt;20,J28*0.28,20)</f>
        <v>20</v>
      </c>
      <c r="O29" s="8"/>
      <c r="P29" s="8"/>
      <c r="Q29" s="8"/>
      <c r="R29" s="8"/>
      <c r="S29" s="9"/>
      <c r="U29" s="33" t="s">
        <v>184</v>
      </c>
      <c r="V29" s="50" t="s">
        <v>314</v>
      </c>
      <c r="W29" s="36">
        <f ca="1">$AL$34</f>
        <v>80.13422531730329</v>
      </c>
      <c r="X29" s="37">
        <f ca="1">$AL$36</f>
        <v>800803.21114229201</v>
      </c>
      <c r="Y29" s="36">
        <f ca="1">$AL$33</f>
        <v>26.058416669961687</v>
      </c>
      <c r="Z29" s="37">
        <f ca="1">$AL$35</f>
        <v>260330.30001186201</v>
      </c>
      <c r="AA29" s="37">
        <f>D27</f>
        <v>14</v>
      </c>
      <c r="AB29" s="40">
        <f t="shared" si="6"/>
        <v>4.2671999999999999</v>
      </c>
      <c r="AD29" s="23"/>
      <c r="AE29" s="45">
        <f t="shared" ref="AE29:BN29" si="13">((TAN((AE28-AE16)+AE28))*AE27)*(TAN(AE22))</f>
        <v>0</v>
      </c>
      <c r="AF29" s="45">
        <f t="shared" ca="1" si="13"/>
        <v>4.4853935858393999E-13</v>
      </c>
      <c r="AG29" s="45">
        <f t="shared" ca="1" si="13"/>
        <v>4.4853935858393994E-13</v>
      </c>
      <c r="AH29" s="45">
        <f t="shared" ca="1" si="13"/>
        <v>0</v>
      </c>
      <c r="AI29" s="45">
        <f t="shared" ca="1" si="13"/>
        <v>4.6828568133330369E-42</v>
      </c>
      <c r="AJ29" s="45">
        <f t="shared" ca="1" si="13"/>
        <v>4.6828568133330369E-42</v>
      </c>
      <c r="AK29" s="45">
        <f t="shared" ca="1" si="13"/>
        <v>0</v>
      </c>
      <c r="AL29" s="48">
        <f t="shared" ca="1" si="13"/>
        <v>1.3387113577006979E-12</v>
      </c>
      <c r="AM29" s="48">
        <f t="shared" ca="1" si="13"/>
        <v>1.3387113577006979E-12</v>
      </c>
      <c r="AN29" s="48">
        <f t="shared" ca="1" si="13"/>
        <v>0</v>
      </c>
      <c r="AO29" s="48">
        <f t="shared" ca="1" si="13"/>
        <v>1.397643817743961E-41</v>
      </c>
      <c r="AP29" s="48">
        <f t="shared" ca="1" si="13"/>
        <v>1.397643817743961E-41</v>
      </c>
      <c r="AQ29" s="48">
        <f t="shared" ca="1" si="13"/>
        <v>0</v>
      </c>
      <c r="AR29" s="45">
        <f t="shared" ca="1" si="13"/>
        <v>2.4283912961552216E-12</v>
      </c>
      <c r="AS29" s="45">
        <f t="shared" ca="1" si="13"/>
        <v>2.4283912961552212E-12</v>
      </c>
      <c r="AT29" s="45">
        <f t="shared" ca="1" si="13"/>
        <v>0</v>
      </c>
      <c r="AU29" s="45">
        <f t="shared" ca="1" si="13"/>
        <v>2.5352897500428108E-41</v>
      </c>
      <c r="AV29" s="45">
        <f t="shared" ca="1" si="13"/>
        <v>2.5352897500428108E-41</v>
      </c>
      <c r="AW29" s="45">
        <f t="shared" ca="1" si="13"/>
        <v>0</v>
      </c>
      <c r="AX29" s="48">
        <f t="shared" ca="1" si="13"/>
        <v>1.8252871677335706E-8</v>
      </c>
      <c r="AY29" s="48">
        <f t="shared" ca="1" si="13"/>
        <v>1.3387113577006979E-12</v>
      </c>
      <c r="AZ29" s="48">
        <f t="shared" ca="1" si="13"/>
        <v>7.3167609126833467E-40</v>
      </c>
      <c r="BA29" s="48">
        <f t="shared" ca="1" si="13"/>
        <v>0</v>
      </c>
      <c r="BB29" s="48">
        <f t="shared" ca="1" si="13"/>
        <v>0</v>
      </c>
      <c r="BC29" s="48">
        <f t="shared" ca="1" si="13"/>
        <v>1.397643817743961E-41</v>
      </c>
      <c r="BD29" s="45">
        <f t="shared" ca="1" si="13"/>
        <v>5.4340518673891973E-40</v>
      </c>
      <c r="BE29" s="45">
        <f t="shared" ca="1" si="13"/>
        <v>5.4340518673891973E-40</v>
      </c>
      <c r="BF29" s="45">
        <f t="shared" ca="1" si="13"/>
        <v>5.3548230120230897E-12</v>
      </c>
      <c r="BG29" s="48">
        <f t="shared" ca="1" si="13"/>
        <v>0</v>
      </c>
      <c r="BH29" s="48">
        <f t="shared" ca="1" si="13"/>
        <v>0</v>
      </c>
      <c r="BI29" s="48">
        <f t="shared" ca="1" si="13"/>
        <v>5.354867849617913E-12</v>
      </c>
      <c r="BJ29" s="45">
        <f t="shared" ca="1" si="13"/>
        <v>4.6417116123685002E-9</v>
      </c>
      <c r="BK29" s="45">
        <f t="shared" ca="1" si="13"/>
        <v>2.3697786487530549E-40</v>
      </c>
      <c r="BL29" s="45">
        <f t="shared" ca="1" si="13"/>
        <v>0</v>
      </c>
      <c r="BM29" s="48">
        <f t="shared" ca="1" si="13"/>
        <v>6.8716344410128052E-40</v>
      </c>
      <c r="BN29" s="48">
        <f t="shared" ca="1" si="13"/>
        <v>0</v>
      </c>
    </row>
    <row r="30" spans="1:66" ht="13.8" thickBot="1" x14ac:dyDescent="0.3">
      <c r="A30" s="7"/>
      <c r="B30" s="95"/>
      <c r="C30" s="188" t="s">
        <v>202</v>
      </c>
      <c r="D30" s="190">
        <v>270</v>
      </c>
      <c r="E30" s="8"/>
      <c r="F30" s="8"/>
      <c r="G30" s="8"/>
      <c r="H30" s="8"/>
      <c r="I30" s="8"/>
      <c r="J30" s="8"/>
      <c r="K30" s="8"/>
      <c r="L30" s="8">
        <v>2</v>
      </c>
      <c r="M30" s="8" t="s">
        <v>186</v>
      </c>
      <c r="N30" s="8">
        <f ca="1">IF(J28*0.28&gt;30,J28*0.28,30)</f>
        <v>30</v>
      </c>
      <c r="O30" s="8"/>
      <c r="P30" s="8"/>
      <c r="Q30" s="8"/>
      <c r="R30" s="8"/>
      <c r="S30" s="9"/>
      <c r="U30" s="34"/>
      <c r="V30" s="51" t="s">
        <v>315</v>
      </c>
      <c r="W30" s="36">
        <f ca="1">$AM$34</f>
        <v>80.134435802696558</v>
      </c>
      <c r="X30" s="37">
        <f ca="1">$AM$36</f>
        <v>800803.96888970793</v>
      </c>
      <c r="Y30" s="36">
        <f ca="1">$AM$33</f>
        <v>26.058416669961687</v>
      </c>
      <c r="Z30" s="37">
        <f ca="1">$AM$35</f>
        <v>260330.30001186201</v>
      </c>
      <c r="AA30" s="38">
        <f>D27</f>
        <v>14</v>
      </c>
      <c r="AB30" s="41">
        <f t="shared" si="6"/>
        <v>4.2671999999999999</v>
      </c>
      <c r="AD30" s="23"/>
      <c r="AE30" s="45">
        <f t="shared" ref="AE30:BN30" si="14">ROUND((((((COS(AE22-(AE27/3)))*AE25)*(SQRT(AE26))*((AE26)))-(AE29/2))+AE16),15)</f>
        <v>0.45480516874807703</v>
      </c>
      <c r="AF30" s="45">
        <f t="shared" ca="1" si="14"/>
        <v>0.45480516874785298</v>
      </c>
      <c r="AG30" s="45">
        <f t="shared" ca="1" si="14"/>
        <v>0.45480516874785298</v>
      </c>
      <c r="AH30" s="45">
        <f t="shared" ca="1" si="14"/>
        <v>0.45480612908974599</v>
      </c>
      <c r="AI30" s="45">
        <f t="shared" ca="1" si="14"/>
        <v>0.45480420840640101</v>
      </c>
      <c r="AJ30" s="45">
        <f t="shared" ca="1" si="14"/>
        <v>0.45480420840640101</v>
      </c>
      <c r="AK30" s="45">
        <f t="shared" ca="1" si="14"/>
        <v>0.45480612908974599</v>
      </c>
      <c r="AL30" s="48">
        <f t="shared" ca="1" si="14"/>
        <v>0.45480516874740801</v>
      </c>
      <c r="AM30" s="48">
        <f t="shared" ca="1" si="14"/>
        <v>0.45480516874740801</v>
      </c>
      <c r="AN30" s="48">
        <f t="shared" ca="1" si="14"/>
        <v>0.45480682783433801</v>
      </c>
      <c r="AO30" s="48">
        <f t="shared" ca="1" si="14"/>
        <v>0.454803509661794</v>
      </c>
      <c r="AP30" s="48">
        <f t="shared" ca="1" si="14"/>
        <v>0.454803509661794</v>
      </c>
      <c r="AQ30" s="48">
        <f t="shared" ca="1" si="14"/>
        <v>0.45480682783433801</v>
      </c>
      <c r="AR30" s="45">
        <f t="shared" ca="1" si="14"/>
        <v>0.454805168746863</v>
      </c>
      <c r="AS30" s="45">
        <f t="shared" ca="1" si="14"/>
        <v>0.454805168746863</v>
      </c>
      <c r="AT30" s="45">
        <f t="shared" ca="1" si="14"/>
        <v>0.45480740327106001</v>
      </c>
      <c r="AU30" s="45">
        <f t="shared" ca="1" si="14"/>
        <v>0.45480293422505502</v>
      </c>
      <c r="AV30" s="45">
        <f t="shared" ca="1" si="14"/>
        <v>0.45480293422505502</v>
      </c>
      <c r="AW30" s="45">
        <f t="shared" ca="1" si="14"/>
        <v>0.45480740327106001</v>
      </c>
      <c r="AX30" s="48">
        <f t="shared" ca="1" si="14"/>
        <v>0.45480515962164098</v>
      </c>
      <c r="AY30" s="48">
        <f t="shared" ca="1" si="14"/>
        <v>0.45480516874740801</v>
      </c>
      <c r="AZ30" s="48">
        <f t="shared" ca="1" si="14"/>
        <v>0.45479315540089899</v>
      </c>
      <c r="BA30" s="48">
        <f t="shared" ca="1" si="14"/>
        <v>0.454817163942697</v>
      </c>
      <c r="BB30" s="48">
        <f t="shared" ca="1" si="14"/>
        <v>0.45480682783433801</v>
      </c>
      <c r="BC30" s="48">
        <f t="shared" ca="1" si="14"/>
        <v>0.454803509661794</v>
      </c>
      <c r="BD30" s="45">
        <f t="shared" ca="1" si="14"/>
        <v>0.45479316445290702</v>
      </c>
      <c r="BE30" s="45">
        <f t="shared" ca="1" si="14"/>
        <v>0.45479316445290702</v>
      </c>
      <c r="BF30" s="45">
        <f t="shared" ca="1" si="14"/>
        <v>0.45480350963541299</v>
      </c>
      <c r="BG30" s="48">
        <f t="shared" ca="1" si="14"/>
        <v>0.45481717304213198</v>
      </c>
      <c r="BH30" s="48">
        <f t="shared" ca="1" si="14"/>
        <v>0.45481717304213198</v>
      </c>
      <c r="BI30" s="48">
        <f t="shared" ca="1" si="14"/>
        <v>0.45480682785538701</v>
      </c>
      <c r="BJ30" s="45">
        <f t="shared" ca="1" si="14"/>
        <v>0.45480516642722102</v>
      </c>
      <c r="BK30" s="45">
        <f t="shared" ca="1" si="14"/>
        <v>0.45479833480038001</v>
      </c>
      <c r="BL30" s="45">
        <f t="shared" ca="1" si="14"/>
        <v>0.45481199815755102</v>
      </c>
      <c r="BM30" s="48">
        <f t="shared" ca="1" si="14"/>
        <v>0.45479353309167198</v>
      </c>
      <c r="BN30" s="48">
        <f t="shared" ca="1" si="14"/>
        <v>0.45481679986556101</v>
      </c>
    </row>
    <row r="31" spans="1:66" ht="13.8" thickBot="1" x14ac:dyDescent="0.3">
      <c r="A31" s="7"/>
      <c r="B31" s="95"/>
      <c r="C31" s="188" t="s">
        <v>203</v>
      </c>
      <c r="D31" s="190"/>
      <c r="E31" s="8"/>
      <c r="F31" s="8"/>
      <c r="G31" s="8"/>
      <c r="H31" s="8"/>
      <c r="I31" s="8"/>
      <c r="J31" s="8"/>
      <c r="K31" s="8"/>
      <c r="L31" s="8">
        <v>3</v>
      </c>
      <c r="M31" s="8" t="s">
        <v>187</v>
      </c>
      <c r="N31" s="8">
        <f ca="1">IF(J28/2&gt;20,J28/2,20)</f>
        <v>21.4</v>
      </c>
      <c r="O31" s="8"/>
      <c r="P31" s="8"/>
      <c r="Q31" s="8"/>
      <c r="R31" s="8"/>
      <c r="S31" s="9"/>
      <c r="U31" s="34"/>
      <c r="V31" s="51" t="s">
        <v>316</v>
      </c>
      <c r="W31" s="36">
        <f ca="1">$AN$34</f>
        <v>80.134225320000198</v>
      </c>
      <c r="X31" s="37">
        <f ca="1">$AN$36</f>
        <v>800803.21115200105</v>
      </c>
      <c r="Y31" s="36">
        <f ca="1">$AN$33</f>
        <v>26.058511728640624</v>
      </c>
      <c r="Z31" s="37">
        <f ca="1">$AN$35</f>
        <v>260330.642223106</v>
      </c>
      <c r="AA31" s="38">
        <f>D27</f>
        <v>14</v>
      </c>
      <c r="AB31" s="41">
        <f t="shared" si="6"/>
        <v>4.2671999999999999</v>
      </c>
      <c r="AD31" s="23"/>
      <c r="AE31" s="45">
        <f t="shared" ref="AE31:BN31" si="15">ROUND(((AE17-((((SQRT((((COS(AE30))*(COS(AE30)))/148.38)+1))*AE25)*(SIN(AE22-(AE27/6))))/(COS((AE29/6)+AE30))))),15)</f>
        <v>1.39860791215351</v>
      </c>
      <c r="AF31" s="45">
        <f t="shared" ca="1" si="15"/>
        <v>1.3986068489261601</v>
      </c>
      <c r="AG31" s="45">
        <f t="shared" ca="1" si="15"/>
        <v>1.3986089753808599</v>
      </c>
      <c r="AH31" s="45">
        <f t="shared" ca="1" si="15"/>
        <v>1.3986068488989301</v>
      </c>
      <c r="AI31" s="45">
        <f t="shared" ca="1" si="15"/>
        <v>1.3986068488989301</v>
      </c>
      <c r="AJ31" s="45">
        <f t="shared" ca="1" si="15"/>
        <v>1.3986089754080899</v>
      </c>
      <c r="AK31" s="45">
        <f t="shared" ca="1" si="15"/>
        <v>1.3986089754080899</v>
      </c>
      <c r="AL31" s="48">
        <f t="shared" ca="1" si="15"/>
        <v>1.39860607532194</v>
      </c>
      <c r="AM31" s="48">
        <f t="shared" ca="1" si="15"/>
        <v>1.3986097489850799</v>
      </c>
      <c r="AN31" s="48">
        <f t="shared" ca="1" si="15"/>
        <v>1.3986060753690099</v>
      </c>
      <c r="AO31" s="48">
        <f t="shared" ca="1" si="15"/>
        <v>1.3986060753690099</v>
      </c>
      <c r="AP31" s="48">
        <f t="shared" ca="1" si="15"/>
        <v>1.39860974893802</v>
      </c>
      <c r="AQ31" s="48">
        <f t="shared" ca="1" si="15"/>
        <v>1.39860974893802</v>
      </c>
      <c r="AR31" s="45">
        <f t="shared" ca="1" si="15"/>
        <v>1.3986054382361199</v>
      </c>
      <c r="AS31" s="45">
        <f t="shared" ca="1" si="15"/>
        <v>1.3986103860709</v>
      </c>
      <c r="AT31" s="45">
        <f t="shared" ca="1" si="15"/>
        <v>1.3986054381493001</v>
      </c>
      <c r="AU31" s="45">
        <f t="shared" ca="1" si="15"/>
        <v>1.3986054381493001</v>
      </c>
      <c r="AV31" s="45">
        <f t="shared" ca="1" si="15"/>
        <v>1.3986103861577299</v>
      </c>
      <c r="AW31" s="45">
        <f t="shared" ca="1" si="15"/>
        <v>1.3986103861577299</v>
      </c>
      <c r="AX31" s="48">
        <f t="shared" ca="1" si="15"/>
        <v>1.3983934298530001</v>
      </c>
      <c r="AY31" s="48">
        <f t="shared" ca="1" si="15"/>
        <v>1.39860607532194</v>
      </c>
      <c r="AZ31" s="48">
        <f t="shared" ca="1" si="15"/>
        <v>1.3983934298634599</v>
      </c>
      <c r="BA31" s="48">
        <f t="shared" ca="1" si="15"/>
        <v>1.3983934298634599</v>
      </c>
      <c r="BB31" s="48">
        <f t="shared" ca="1" si="15"/>
        <v>1.3986060753690099</v>
      </c>
      <c r="BC31" s="48">
        <f t="shared" ca="1" si="15"/>
        <v>1.3986060753690099</v>
      </c>
      <c r="BD31" s="45">
        <f t="shared" ca="1" si="15"/>
        <v>1.3986060753690099</v>
      </c>
      <c r="BE31" s="45">
        <f t="shared" ca="1" si="15"/>
        <v>1.39860974911255</v>
      </c>
      <c r="BF31" s="45">
        <f t="shared" ca="1" si="15"/>
        <v>1.39860974902918</v>
      </c>
      <c r="BG31" s="48">
        <f t="shared" ca="1" si="15"/>
        <v>1.3986060753690099</v>
      </c>
      <c r="BH31" s="48">
        <f t="shared" ca="1" si="15"/>
        <v>1.39860974911255</v>
      </c>
      <c r="BI31" s="48">
        <f t="shared" ca="1" si="15"/>
        <v>1.3986097490351099</v>
      </c>
      <c r="BJ31" s="45">
        <f t="shared" ca="1" si="15"/>
        <v>1.39849975258724</v>
      </c>
      <c r="BK31" s="45">
        <f t="shared" ca="1" si="15"/>
        <v>1.39849975252897</v>
      </c>
      <c r="BL31" s="45">
        <f t="shared" ca="1" si="15"/>
        <v>1.39849975252897</v>
      </c>
      <c r="BM31" s="48">
        <f t="shared" ca="1" si="15"/>
        <v>1.39849975252897</v>
      </c>
      <c r="BN31" s="48">
        <f t="shared" ca="1" si="15"/>
        <v>1.39849975252897</v>
      </c>
    </row>
    <row r="32" spans="1:66" ht="13.8" thickBot="1" x14ac:dyDescent="0.3">
      <c r="A32" s="7"/>
      <c r="B32" s="91"/>
      <c r="C32" s="8"/>
      <c r="D32" s="8"/>
      <c r="E32" s="8"/>
      <c r="F32" s="8"/>
      <c r="G32" s="8"/>
      <c r="H32" s="8"/>
      <c r="I32" s="8"/>
      <c r="J32" s="8"/>
      <c r="K32" s="8"/>
      <c r="L32" s="8">
        <v>4</v>
      </c>
      <c r="M32" s="8" t="s">
        <v>188</v>
      </c>
      <c r="N32" s="8">
        <f ca="1">IF(J28/2&gt;30,J28/2,30)</f>
        <v>30</v>
      </c>
      <c r="O32" s="8"/>
      <c r="P32" s="8"/>
      <c r="Q32" s="8"/>
      <c r="R32" s="8"/>
      <c r="S32" s="9"/>
      <c r="U32" s="34"/>
      <c r="V32" s="51" t="s">
        <v>317</v>
      </c>
      <c r="W32" s="36">
        <f ca="1">$AO$34</f>
        <v>80.134225320000198</v>
      </c>
      <c r="X32" s="37">
        <f ca="1">$AO$36</f>
        <v>800803.21115200105</v>
      </c>
      <c r="Y32" s="36">
        <f ca="1">$AO$33</f>
        <v>26.058321611358156</v>
      </c>
      <c r="Z32" s="37">
        <f ca="1">$AO$35</f>
        <v>260329.95780088901</v>
      </c>
      <c r="AA32" s="38">
        <f>D27</f>
        <v>14</v>
      </c>
      <c r="AB32" s="41">
        <f t="shared" si="6"/>
        <v>4.2671999999999999</v>
      </c>
      <c r="AD32" s="23"/>
      <c r="AE32" s="45">
        <f t="shared" ref="AE32:BN32" si="16">ROUND((((((((((SQRT((((COS(AE30))*(COS(AE30)))/148.38)+1))*AE25)*(SIN(AE22-(AE27/6))))/(COS((AE29/6)+AE29)))*(SIN((AE29/3)+AE29)))-(AE27/2))-PI())+AE22)+(PI()+PI())),15)</f>
        <v>4.7123889803846897</v>
      </c>
      <c r="AF32" s="45">
        <f t="shared" ca="1" si="16"/>
        <v>4.7123889803846897</v>
      </c>
      <c r="AG32" s="45">
        <f t="shared" ca="1" si="16"/>
        <v>7.8539816339744801</v>
      </c>
      <c r="AH32" s="45">
        <f t="shared" ca="1" si="16"/>
        <v>3.14159265358979</v>
      </c>
      <c r="AI32" s="45">
        <f t="shared" ca="1" si="16"/>
        <v>6.28318530717958</v>
      </c>
      <c r="AJ32" s="45">
        <f t="shared" ca="1" si="16"/>
        <v>6.28318530717958</v>
      </c>
      <c r="AK32" s="45">
        <f t="shared" ca="1" si="16"/>
        <v>3.14159265358979</v>
      </c>
      <c r="AL32" s="48">
        <f t="shared" ca="1" si="16"/>
        <v>4.7123889803846897</v>
      </c>
      <c r="AM32" s="48">
        <f t="shared" ca="1" si="16"/>
        <v>7.8539816339744801</v>
      </c>
      <c r="AN32" s="48">
        <f t="shared" ca="1" si="16"/>
        <v>3.14159265358979</v>
      </c>
      <c r="AO32" s="48">
        <f t="shared" ca="1" si="16"/>
        <v>6.28318530717958</v>
      </c>
      <c r="AP32" s="48">
        <f t="shared" ca="1" si="16"/>
        <v>6.28318530717958</v>
      </c>
      <c r="AQ32" s="48">
        <f t="shared" ca="1" si="16"/>
        <v>3.14159265358979</v>
      </c>
      <c r="AR32" s="45">
        <f t="shared" ca="1" si="16"/>
        <v>4.7123889803846897</v>
      </c>
      <c r="AS32" s="45">
        <f t="shared" ca="1" si="16"/>
        <v>7.8539816339744801</v>
      </c>
      <c r="AT32" s="45">
        <f t="shared" ca="1" si="16"/>
        <v>3.14159265358979</v>
      </c>
      <c r="AU32" s="45">
        <f t="shared" ca="1" si="16"/>
        <v>6.28318530717958</v>
      </c>
      <c r="AV32" s="45">
        <f t="shared" ca="1" si="16"/>
        <v>6.28318530717958</v>
      </c>
      <c r="AW32" s="45">
        <f t="shared" ca="1" si="16"/>
        <v>3.14159265358979</v>
      </c>
      <c r="AX32" s="48">
        <f t="shared" ca="1" si="16"/>
        <v>4.7123889803893801</v>
      </c>
      <c r="AY32" s="48">
        <f t="shared" ca="1" si="16"/>
        <v>4.7123889803846897</v>
      </c>
      <c r="AZ32" s="48">
        <f t="shared" ca="1" si="16"/>
        <v>6.28318530717958</v>
      </c>
      <c r="BA32" s="48">
        <f t="shared" ca="1" si="16"/>
        <v>3.14159265358979</v>
      </c>
      <c r="BB32" s="48">
        <f t="shared" ca="1" si="16"/>
        <v>3.14159265358979</v>
      </c>
      <c r="BC32" s="48">
        <f t="shared" ca="1" si="16"/>
        <v>6.28318530717958</v>
      </c>
      <c r="BD32" s="45">
        <f t="shared" ca="1" si="16"/>
        <v>6.28318530717958</v>
      </c>
      <c r="BE32" s="45">
        <f t="shared" ca="1" si="16"/>
        <v>6.28318530717958</v>
      </c>
      <c r="BF32" s="45">
        <f t="shared" ca="1" si="16"/>
        <v>7.8539816339744801</v>
      </c>
      <c r="BG32" s="48">
        <f t="shared" ca="1" si="16"/>
        <v>3.14159265358979</v>
      </c>
      <c r="BH32" s="48">
        <f t="shared" ca="1" si="16"/>
        <v>3.14159265358979</v>
      </c>
      <c r="BI32" s="48">
        <f t="shared" ca="1" si="16"/>
        <v>7.8539816339744801</v>
      </c>
      <c r="BJ32" s="45">
        <f t="shared" ca="1" si="16"/>
        <v>4.7123889803852901</v>
      </c>
      <c r="BK32" s="45">
        <f t="shared" ca="1" si="16"/>
        <v>6.28318530717958</v>
      </c>
      <c r="BL32" s="45">
        <f t="shared" ca="1" si="16"/>
        <v>3.14159265358979</v>
      </c>
      <c r="BM32" s="48">
        <f t="shared" ca="1" si="16"/>
        <v>6.28318530717958</v>
      </c>
      <c r="BN32" s="48">
        <f t="shared" ca="1" si="16"/>
        <v>3.14159265358979</v>
      </c>
    </row>
    <row r="33" spans="1:70" ht="13.8" thickBot="1" x14ac:dyDescent="0.3">
      <c r="A33" s="7"/>
      <c r="B33" s="91"/>
      <c r="C33" s="232" t="s">
        <v>775</v>
      </c>
      <c r="D33" s="233"/>
      <c r="E33" s="8"/>
      <c r="F33" s="8"/>
      <c r="G33" s="8"/>
      <c r="H33" s="8"/>
      <c r="I33" s="8"/>
      <c r="J33" s="8"/>
      <c r="K33" s="8"/>
      <c r="L33" s="8"/>
      <c r="M33" s="8"/>
      <c r="N33" s="8"/>
      <c r="O33" s="8"/>
      <c r="P33" s="8"/>
      <c r="Q33" s="8"/>
      <c r="R33" s="8"/>
      <c r="S33" s="9"/>
      <c r="U33" s="34"/>
      <c r="V33" s="51" t="s">
        <v>318</v>
      </c>
      <c r="W33" s="36">
        <f ca="1">$AP$34</f>
        <v>80.134435800000219</v>
      </c>
      <c r="X33" s="37">
        <f ca="1">$AP$36</f>
        <v>800803.96888000099</v>
      </c>
      <c r="Y33" s="36">
        <f ca="1">$AP$33</f>
        <v>26.058321611358156</v>
      </c>
      <c r="Z33" s="37">
        <f ca="1">$AP$35</f>
        <v>260329.95780088901</v>
      </c>
      <c r="AA33" s="38">
        <f>D27</f>
        <v>14</v>
      </c>
      <c r="AB33" s="41">
        <f t="shared" si="6"/>
        <v>4.2671999999999999</v>
      </c>
      <c r="AD33" s="23" t="s">
        <v>304</v>
      </c>
      <c r="AE33" s="45">
        <f t="shared" ref="AE33:BN33" si="17">(AE30*(180/PI()))</f>
        <v>26.058416670000021</v>
      </c>
      <c r="AF33" s="45">
        <f t="shared" ca="1" si="17"/>
        <v>26.058416669987185</v>
      </c>
      <c r="AG33" s="45">
        <f t="shared" ca="1" si="17"/>
        <v>26.058416669987185</v>
      </c>
      <c r="AH33" s="45">
        <f t="shared" ca="1" si="17"/>
        <v>26.058471693524542</v>
      </c>
      <c r="AI33" s="45">
        <f t="shared" ca="1" si="17"/>
        <v>26.058361646475095</v>
      </c>
      <c r="AJ33" s="45">
        <f t="shared" ca="1" si="17"/>
        <v>26.058361646475095</v>
      </c>
      <c r="AK33" s="45">
        <f t="shared" ca="1" si="17"/>
        <v>26.058471693524542</v>
      </c>
      <c r="AL33" s="48">
        <f t="shared" ca="1" si="17"/>
        <v>26.058416669961687</v>
      </c>
      <c r="AM33" s="48">
        <f t="shared" ca="1" si="17"/>
        <v>26.058416669961687</v>
      </c>
      <c r="AN33" s="48">
        <f t="shared" ca="1" si="17"/>
        <v>26.058511728640624</v>
      </c>
      <c r="AO33" s="48">
        <f t="shared" ca="1" si="17"/>
        <v>26.058321611358156</v>
      </c>
      <c r="AP33" s="48">
        <f t="shared" ca="1" si="17"/>
        <v>26.058321611358156</v>
      </c>
      <c r="AQ33" s="48">
        <f t="shared" ca="1" si="17"/>
        <v>26.058511728640624</v>
      </c>
      <c r="AR33" s="45">
        <f t="shared" ca="1" si="17"/>
        <v>26.058416669930462</v>
      </c>
      <c r="AS33" s="45">
        <f t="shared" ca="1" si="17"/>
        <v>26.058416669930462</v>
      </c>
      <c r="AT33" s="45">
        <f t="shared" ca="1" si="17"/>
        <v>26.058544698736171</v>
      </c>
      <c r="AU33" s="45">
        <f t="shared" ca="1" si="17"/>
        <v>26.058288641261633</v>
      </c>
      <c r="AV33" s="45">
        <f t="shared" ca="1" si="17"/>
        <v>26.058288641261633</v>
      </c>
      <c r="AW33" s="45">
        <f t="shared" ca="1" si="17"/>
        <v>26.058544698736171</v>
      </c>
      <c r="AX33" s="48">
        <f t="shared" ca="1" si="17"/>
        <v>26.058416147093752</v>
      </c>
      <c r="AY33" s="48">
        <f t="shared" ca="1" si="17"/>
        <v>26.058416669961687</v>
      </c>
      <c r="AZ33" s="48">
        <f t="shared" ca="1" si="17"/>
        <v>26.057728355908893</v>
      </c>
      <c r="BA33" s="48">
        <f t="shared" ca="1" si="17"/>
        <v>26.059103944026184</v>
      </c>
      <c r="BB33" s="48">
        <f t="shared" ca="1" si="17"/>
        <v>26.058511728640624</v>
      </c>
      <c r="BC33" s="48">
        <f t="shared" ca="1" si="17"/>
        <v>26.058321611358156</v>
      </c>
      <c r="BD33" s="45">
        <f t="shared" ca="1" si="17"/>
        <v>26.057728874550751</v>
      </c>
      <c r="BE33" s="45">
        <f t="shared" ca="1" si="17"/>
        <v>26.057728874550751</v>
      </c>
      <c r="BF33" s="45">
        <f t="shared" ca="1" si="17"/>
        <v>26.058321609846633</v>
      </c>
      <c r="BG33" s="48">
        <f t="shared" ca="1" si="17"/>
        <v>26.059104465385403</v>
      </c>
      <c r="BH33" s="48">
        <f t="shared" ca="1" si="17"/>
        <v>26.059104465385403</v>
      </c>
      <c r="BI33" s="48">
        <f t="shared" ca="1" si="17"/>
        <v>26.058511729846643</v>
      </c>
      <c r="BJ33" s="45">
        <f t="shared" ca="1" si="17"/>
        <v>26.058416537024765</v>
      </c>
      <c r="BK33" s="45">
        <f t="shared" ca="1" si="17"/>
        <v>26.05802511363957</v>
      </c>
      <c r="BL33" s="45">
        <f t="shared" ca="1" si="17"/>
        <v>26.058807966339447</v>
      </c>
      <c r="BM33" s="48">
        <f t="shared" ca="1" si="17"/>
        <v>26.057749995996147</v>
      </c>
      <c r="BN33" s="48">
        <f t="shared" ca="1" si="17"/>
        <v>26.059083083942873</v>
      </c>
    </row>
    <row r="34" spans="1:70" ht="13.8" thickBot="1" x14ac:dyDescent="0.3">
      <c r="A34" s="7"/>
      <c r="B34" s="91"/>
      <c r="C34" s="97" t="s">
        <v>763</v>
      </c>
      <c r="D34" s="84" t="s">
        <v>760</v>
      </c>
      <c r="E34" s="8"/>
      <c r="F34" s="8"/>
      <c r="G34" s="8"/>
      <c r="H34" s="8"/>
      <c r="I34" s="8"/>
      <c r="J34" s="8"/>
      <c r="K34" s="8"/>
      <c r="L34" s="8"/>
      <c r="M34" s="8"/>
      <c r="N34" s="8"/>
      <c r="O34" s="8"/>
      <c r="P34" s="8"/>
      <c r="Q34" s="8"/>
      <c r="R34" s="8"/>
      <c r="S34" s="9"/>
      <c r="U34" s="35"/>
      <c r="V34" s="52" t="s">
        <v>319</v>
      </c>
      <c r="W34" s="36">
        <f ca="1">$AQ$34</f>
        <v>80.134435800000219</v>
      </c>
      <c r="X34" s="37">
        <f ca="1">$AQ$36</f>
        <v>800803.96888000099</v>
      </c>
      <c r="Y34" s="36">
        <f ca="1">$AQ$33</f>
        <v>26.058511728640624</v>
      </c>
      <c r="Z34" s="37">
        <f ca="1">$AQ$35</f>
        <v>260330.642223106</v>
      </c>
      <c r="AA34" s="39">
        <f>D27</f>
        <v>14</v>
      </c>
      <c r="AB34" s="42">
        <f t="shared" si="6"/>
        <v>4.2671999999999999</v>
      </c>
      <c r="AD34" s="23" t="s">
        <v>306</v>
      </c>
      <c r="AE34" s="45">
        <f t="shared" ref="AE34:BN34" si="18">(AE31*(180/PI()))</f>
        <v>80.134330559999924</v>
      </c>
      <c r="AF34" s="45">
        <f t="shared" ca="1" si="18"/>
        <v>80.13426964156011</v>
      </c>
      <c r="AG34" s="45">
        <f t="shared" ca="1" si="18"/>
        <v>80.134391478439738</v>
      </c>
      <c r="AH34" s="45">
        <f t="shared" ca="1" si="18"/>
        <v>80.134269639999943</v>
      </c>
      <c r="AI34" s="45">
        <f t="shared" ca="1" si="18"/>
        <v>80.134269639999943</v>
      </c>
      <c r="AJ34" s="45">
        <f t="shared" ca="1" si="18"/>
        <v>80.134391479999891</v>
      </c>
      <c r="AK34" s="45">
        <f t="shared" ca="1" si="18"/>
        <v>80.134391479999891</v>
      </c>
      <c r="AL34" s="48">
        <f t="shared" ca="1" si="18"/>
        <v>80.13422531730329</v>
      </c>
      <c r="AM34" s="48">
        <f t="shared" ca="1" si="18"/>
        <v>80.134435802696558</v>
      </c>
      <c r="AN34" s="48">
        <f t="shared" ca="1" si="18"/>
        <v>80.134225320000198</v>
      </c>
      <c r="AO34" s="48">
        <f t="shared" ca="1" si="18"/>
        <v>80.134225320000198</v>
      </c>
      <c r="AP34" s="48">
        <f t="shared" ca="1" si="18"/>
        <v>80.134435800000219</v>
      </c>
      <c r="AQ34" s="48">
        <f t="shared" ca="1" si="18"/>
        <v>80.134435800000219</v>
      </c>
      <c r="AR34" s="45">
        <f t="shared" ca="1" si="18"/>
        <v>80.134188814974607</v>
      </c>
      <c r="AS34" s="45">
        <f t="shared" ca="1" si="18"/>
        <v>80.134472305025227</v>
      </c>
      <c r="AT34" s="45">
        <f t="shared" ca="1" si="18"/>
        <v>80.134188810000197</v>
      </c>
      <c r="AU34" s="45">
        <f t="shared" ca="1" si="18"/>
        <v>80.134188810000197</v>
      </c>
      <c r="AV34" s="45">
        <f t="shared" ca="1" si="18"/>
        <v>80.13447231000022</v>
      </c>
      <c r="AW34" s="45">
        <f t="shared" ca="1" si="18"/>
        <v>80.13447231000022</v>
      </c>
      <c r="AX34" s="48">
        <f t="shared" ca="1" si="18"/>
        <v>80.122041629400442</v>
      </c>
      <c r="AY34" s="48">
        <f t="shared" ca="1" si="18"/>
        <v>80.13422531730329</v>
      </c>
      <c r="AZ34" s="48">
        <f t="shared" ca="1" si="18"/>
        <v>80.122041629999757</v>
      </c>
      <c r="BA34" s="48">
        <f t="shared" ca="1" si="18"/>
        <v>80.122041629999757</v>
      </c>
      <c r="BB34" s="48">
        <f t="shared" ca="1" si="18"/>
        <v>80.134225320000198</v>
      </c>
      <c r="BC34" s="48">
        <f t="shared" ca="1" si="18"/>
        <v>80.134225320000198</v>
      </c>
      <c r="BD34" s="45">
        <f t="shared" ca="1" si="18"/>
        <v>80.134225320000198</v>
      </c>
      <c r="BE34" s="45">
        <f t="shared" ca="1" si="18"/>
        <v>80.134435810000042</v>
      </c>
      <c r="BF34" s="45">
        <f t="shared" ca="1" si="18"/>
        <v>80.134435805223305</v>
      </c>
      <c r="BG34" s="48">
        <f t="shared" ca="1" si="18"/>
        <v>80.134225320000198</v>
      </c>
      <c r="BH34" s="48">
        <f t="shared" ca="1" si="18"/>
        <v>80.134435810000042</v>
      </c>
      <c r="BI34" s="48">
        <f t="shared" ca="1" si="18"/>
        <v>80.134435805563058</v>
      </c>
      <c r="BJ34" s="45">
        <f t="shared" ca="1" si="18"/>
        <v>80.128133473338679</v>
      </c>
      <c r="BK34" s="45">
        <f t="shared" ca="1" si="18"/>
        <v>80.128133470000051</v>
      </c>
      <c r="BL34" s="45">
        <f t="shared" ca="1" si="18"/>
        <v>80.128133470000051</v>
      </c>
      <c r="BM34" s="48">
        <f t="shared" ca="1" si="18"/>
        <v>80.128133470000051</v>
      </c>
      <c r="BN34" s="48">
        <f t="shared" ca="1" si="18"/>
        <v>80.128133470000051</v>
      </c>
    </row>
    <row r="35" spans="1:70" ht="13.8" thickBot="1" x14ac:dyDescent="0.3">
      <c r="A35" s="7"/>
      <c r="B35" s="91"/>
      <c r="C35" s="97" t="s">
        <v>764</v>
      </c>
      <c r="D35" s="84"/>
      <c r="E35" s="8"/>
      <c r="F35" s="8"/>
      <c r="G35" s="8"/>
      <c r="H35" s="8"/>
      <c r="I35" s="8"/>
      <c r="J35" s="8"/>
      <c r="K35" s="8"/>
      <c r="L35" s="8"/>
      <c r="M35" s="8"/>
      <c r="N35" s="8"/>
      <c r="O35" s="237" t="s">
        <v>904</v>
      </c>
      <c r="P35" s="237"/>
      <c r="Q35" s="237"/>
      <c r="R35" s="237"/>
      <c r="S35" s="117"/>
      <c r="U35" s="33" t="s">
        <v>320</v>
      </c>
      <c r="V35" s="50" t="s">
        <v>314</v>
      </c>
      <c r="W35" s="36">
        <f ca="1">$AR$34</f>
        <v>80.134188814974607</v>
      </c>
      <c r="X35" s="37">
        <f ca="1">$AR$36</f>
        <v>800803.07973390899</v>
      </c>
      <c r="Y35" s="36">
        <f ca="1">$AR$33</f>
        <v>26.058416669930462</v>
      </c>
      <c r="Z35" s="37">
        <f ca="1">$AR$35</f>
        <v>260330.30001174999</v>
      </c>
      <c r="AA35" s="37">
        <f>D27</f>
        <v>14</v>
      </c>
      <c r="AB35" s="40">
        <f t="shared" si="6"/>
        <v>4.2671999999999999</v>
      </c>
      <c r="AD35" s="23" t="s">
        <v>307</v>
      </c>
      <c r="AE35" s="46">
        <f t="shared" ref="AE35:BN35" si="19">(ROUND((((((AE33-(TRUNC(AE33)))*0.6)*100)-(TRUNC(((AE33-(TRUNC(AE33)))*0.6)*100)))*0.006)+(TRUNC(AE33)+((TRUNC(((AE33-(TRUNC(AE33)))*0.6)*100))/100)),15))*10000</f>
        <v>260330.30001199999</v>
      </c>
      <c r="AF35" s="46">
        <f t="shared" ca="1" si="19"/>
        <v>260330.30001195401</v>
      </c>
      <c r="AG35" s="46">
        <f t="shared" ca="1" si="19"/>
        <v>260330.30001195401</v>
      </c>
      <c r="AH35" s="46">
        <f t="shared" ca="1" si="19"/>
        <v>260330.49809668801</v>
      </c>
      <c r="AI35" s="46">
        <f t="shared" ca="1" si="19"/>
        <v>260330.10192731</v>
      </c>
      <c r="AJ35" s="46">
        <f t="shared" ca="1" si="19"/>
        <v>260330.10192731</v>
      </c>
      <c r="AK35" s="46">
        <f t="shared" ca="1" si="19"/>
        <v>260330.49809668801</v>
      </c>
      <c r="AL35" s="49">
        <f t="shared" ca="1" si="19"/>
        <v>260330.30001186201</v>
      </c>
      <c r="AM35" s="49">
        <f t="shared" ca="1" si="19"/>
        <v>260330.30001186201</v>
      </c>
      <c r="AN35" s="49">
        <f t="shared" ca="1" si="19"/>
        <v>260330.642223106</v>
      </c>
      <c r="AO35" s="49">
        <f t="shared" ca="1" si="19"/>
        <v>260329.95780088901</v>
      </c>
      <c r="AP35" s="49">
        <f t="shared" ca="1" si="19"/>
        <v>260329.95780088901</v>
      </c>
      <c r="AQ35" s="49">
        <f t="shared" ca="1" si="19"/>
        <v>260330.642223106</v>
      </c>
      <c r="AR35" s="46">
        <f t="shared" ca="1" si="19"/>
        <v>260330.30001174999</v>
      </c>
      <c r="AS35" s="46">
        <f t="shared" ca="1" si="19"/>
        <v>260330.30001174999</v>
      </c>
      <c r="AT35" s="46">
        <f t="shared" ca="1" si="19"/>
        <v>260330.76091545</v>
      </c>
      <c r="AU35" s="46">
        <f t="shared" ca="1" si="19"/>
        <v>260329.83910854199</v>
      </c>
      <c r="AV35" s="46">
        <f t="shared" ca="1" si="19"/>
        <v>260329.83910854199</v>
      </c>
      <c r="AW35" s="46">
        <f t="shared" ca="1" si="19"/>
        <v>260330.76091545</v>
      </c>
      <c r="AX35" s="49">
        <f t="shared" ca="1" si="19"/>
        <v>260330.29812953799</v>
      </c>
      <c r="AY35" s="49">
        <f t="shared" ca="1" si="19"/>
        <v>260330.30001186201</v>
      </c>
      <c r="AZ35" s="49">
        <f t="shared" ca="1" si="19"/>
        <v>260327.822081272</v>
      </c>
      <c r="BA35" s="49">
        <f t="shared" ca="1" si="19"/>
        <v>260332.77419849401</v>
      </c>
      <c r="BB35" s="49">
        <f t="shared" ca="1" si="19"/>
        <v>260330.642223106</v>
      </c>
      <c r="BC35" s="49">
        <f t="shared" ca="1" si="19"/>
        <v>260329.95780088901</v>
      </c>
      <c r="BD35" s="46">
        <f t="shared" ca="1" si="19"/>
        <v>260327.82394838301</v>
      </c>
      <c r="BE35" s="46">
        <f t="shared" ca="1" si="19"/>
        <v>260327.82394838301</v>
      </c>
      <c r="BF35" s="46">
        <f t="shared" ca="1" si="19"/>
        <v>260329.95779544802</v>
      </c>
      <c r="BG35" s="49">
        <f t="shared" ca="1" si="19"/>
        <v>260332.776075387</v>
      </c>
      <c r="BH35" s="49">
        <f t="shared" ca="1" si="19"/>
        <v>260332.776075387</v>
      </c>
      <c r="BI35" s="49">
        <f t="shared" ca="1" si="19"/>
        <v>260330.64222744803</v>
      </c>
      <c r="BJ35" s="46">
        <f t="shared" ca="1" si="19"/>
        <v>260330.29953328898</v>
      </c>
      <c r="BK35" s="46">
        <f t="shared" ca="1" si="19"/>
        <v>260328.89040910199</v>
      </c>
      <c r="BL35" s="46">
        <f t="shared" ca="1" si="19"/>
        <v>260331.70867882197</v>
      </c>
      <c r="BM35" s="49">
        <f t="shared" ca="1" si="19"/>
        <v>260327.89998558597</v>
      </c>
      <c r="BN35" s="49">
        <f t="shared" ca="1" si="19"/>
        <v>260332.69910219399</v>
      </c>
    </row>
    <row r="36" spans="1:70" ht="13.8" thickBot="1" x14ac:dyDescent="0.3">
      <c r="A36" s="7"/>
      <c r="B36" s="91"/>
      <c r="C36" s="8"/>
      <c r="D36" s="8"/>
      <c r="E36" s="8"/>
      <c r="F36" s="8"/>
      <c r="G36" s="8"/>
      <c r="H36" s="8"/>
      <c r="I36" s="8"/>
      <c r="J36" s="8"/>
      <c r="K36" s="8"/>
      <c r="L36" s="8"/>
      <c r="M36" s="8"/>
      <c r="N36" s="8"/>
      <c r="O36" s="226" t="s">
        <v>902</v>
      </c>
      <c r="P36" s="226"/>
      <c r="Q36" s="226"/>
      <c r="R36" s="121">
        <v>0</v>
      </c>
      <c r="S36" s="201" t="str">
        <f ca="1">IF(AND(R36&lt;&gt;"",R36&gt;0,R36&lt;D56),"Less than D56","")</f>
        <v/>
      </c>
      <c r="U36" s="34" t="s">
        <v>321</v>
      </c>
      <c r="V36" s="51" t="s">
        <v>315</v>
      </c>
      <c r="W36" s="36">
        <f ca="1">$AS$34</f>
        <v>80.134472305025227</v>
      </c>
      <c r="X36" s="37">
        <f ca="1">$AS$36</f>
        <v>800804.10029809107</v>
      </c>
      <c r="Y36" s="36">
        <f ca="1">$AS$33</f>
        <v>26.058416669930462</v>
      </c>
      <c r="Z36" s="37">
        <f ca="1">$AS$35</f>
        <v>260330.30001174999</v>
      </c>
      <c r="AA36" s="38">
        <f>D27</f>
        <v>14</v>
      </c>
      <c r="AB36" s="41">
        <f t="shared" si="6"/>
        <v>4.2671999999999999</v>
      </c>
      <c r="AD36" s="23" t="s">
        <v>308</v>
      </c>
      <c r="AE36" s="46">
        <f t="shared" ref="AE36:BN36" si="20">(ROUND((((((AE34-(TRUNC(AE34)))*0.6)*100)-(TRUNC(((AE34-(TRUNC(AE34)))*0.6)*100)))*0.006)+(TRUNC(AE34)+((TRUNC(((AE34-(TRUNC(AE34)))*0.6)*100))/100)),15))*10000</f>
        <v>800803.59001599997</v>
      </c>
      <c r="AF36" s="46">
        <f t="shared" ca="1" si="20"/>
        <v>800803.37070961599</v>
      </c>
      <c r="AG36" s="46">
        <f t="shared" ca="1" si="20"/>
        <v>800803.80932238302</v>
      </c>
      <c r="AH36" s="46">
        <f t="shared" ca="1" si="20"/>
        <v>800803.37070400012</v>
      </c>
      <c r="AI36" s="46">
        <f t="shared" ca="1" si="20"/>
        <v>800803.37070400012</v>
      </c>
      <c r="AJ36" s="46">
        <f t="shared" ca="1" si="20"/>
        <v>800803.80932799994</v>
      </c>
      <c r="AK36" s="46">
        <f t="shared" ca="1" si="20"/>
        <v>800803.80932799994</v>
      </c>
      <c r="AL36" s="49">
        <f t="shared" ca="1" si="20"/>
        <v>800803.21114229201</v>
      </c>
      <c r="AM36" s="49">
        <f t="shared" ca="1" si="20"/>
        <v>800803.96888970793</v>
      </c>
      <c r="AN36" s="49">
        <f t="shared" ca="1" si="20"/>
        <v>800803.21115200105</v>
      </c>
      <c r="AO36" s="49">
        <f t="shared" ca="1" si="20"/>
        <v>800803.21115200105</v>
      </c>
      <c r="AP36" s="49">
        <f t="shared" ca="1" si="20"/>
        <v>800803.96888000099</v>
      </c>
      <c r="AQ36" s="49">
        <f t="shared" ca="1" si="20"/>
        <v>800803.96888000099</v>
      </c>
      <c r="AR36" s="46">
        <f t="shared" ca="1" si="20"/>
        <v>800803.07973390899</v>
      </c>
      <c r="AS36" s="46">
        <f t="shared" ca="1" si="20"/>
        <v>800804.10029809107</v>
      </c>
      <c r="AT36" s="46">
        <f t="shared" ca="1" si="20"/>
        <v>800803.07971600106</v>
      </c>
      <c r="AU36" s="46">
        <f t="shared" ca="1" si="20"/>
        <v>800803.07971600106</v>
      </c>
      <c r="AV36" s="46">
        <f t="shared" ca="1" si="20"/>
        <v>800804.10031600099</v>
      </c>
      <c r="AW36" s="46">
        <f t="shared" ca="1" si="20"/>
        <v>800804.10031600099</v>
      </c>
      <c r="AX36" s="49">
        <f t="shared" ca="1" si="20"/>
        <v>800719.34986584191</v>
      </c>
      <c r="AY36" s="49">
        <f t="shared" ca="1" si="20"/>
        <v>800803.21114229201</v>
      </c>
      <c r="AZ36" s="49">
        <f t="shared" ca="1" si="20"/>
        <v>800719.34986799897</v>
      </c>
      <c r="BA36" s="49">
        <f t="shared" ca="1" si="20"/>
        <v>800719.34986799897</v>
      </c>
      <c r="BB36" s="49">
        <f t="shared" ca="1" si="20"/>
        <v>800803.21115200105</v>
      </c>
      <c r="BC36" s="49">
        <f t="shared" ca="1" si="20"/>
        <v>800803.21115200105</v>
      </c>
      <c r="BD36" s="46">
        <f t="shared" ca="1" si="20"/>
        <v>800803.21115200105</v>
      </c>
      <c r="BE36" s="46">
        <f t="shared" ca="1" si="20"/>
        <v>800803.96891599998</v>
      </c>
      <c r="BF36" s="46">
        <f t="shared" ca="1" si="20"/>
        <v>800803.96889880404</v>
      </c>
      <c r="BG36" s="49">
        <f t="shared" ca="1" si="20"/>
        <v>800803.21115200105</v>
      </c>
      <c r="BH36" s="49">
        <f t="shared" ca="1" si="20"/>
        <v>800803.96891599998</v>
      </c>
      <c r="BI36" s="49">
        <f t="shared" ca="1" si="20"/>
        <v>800803.96890002699</v>
      </c>
      <c r="BJ36" s="46">
        <f t="shared" ca="1" si="20"/>
        <v>800741.280504019</v>
      </c>
      <c r="BK36" s="46">
        <f t="shared" ca="1" si="20"/>
        <v>800741.28049199993</v>
      </c>
      <c r="BL36" s="46">
        <f t="shared" ca="1" si="20"/>
        <v>800741.28049199993</v>
      </c>
      <c r="BM36" s="49">
        <f t="shared" ca="1" si="20"/>
        <v>800741.28049199993</v>
      </c>
      <c r="BN36" s="49">
        <f t="shared" ca="1" si="20"/>
        <v>800741.28049199993</v>
      </c>
      <c r="BR36" s="34"/>
    </row>
    <row r="37" spans="1:70" ht="13.8" thickBot="1" x14ac:dyDescent="0.3">
      <c r="A37" s="7"/>
      <c r="B37" s="91"/>
      <c r="C37" s="192" t="s">
        <v>0</v>
      </c>
      <c r="D37" s="197">
        <f ca="1">IF($D$17="","Manual Data Entered",INDIRECT(H37))</f>
        <v>5732</v>
      </c>
      <c r="E37" s="160"/>
      <c r="F37" s="160"/>
      <c r="G37" s="160"/>
      <c r="H37" s="161" t="str">
        <f>"'Helicopter Data'!"&amp;$H$29&amp;3</f>
        <v>'Helicopter Data'!C3</v>
      </c>
      <c r="I37" s="160"/>
      <c r="J37" s="160"/>
      <c r="K37" s="160"/>
      <c r="L37" s="160"/>
      <c r="M37" s="160"/>
      <c r="N37" s="160"/>
      <c r="O37" s="226" t="s">
        <v>910</v>
      </c>
      <c r="P37" s="226"/>
      <c r="Q37" s="226"/>
      <c r="R37" s="119" t="str">
        <f>IF(OR(R36=0,R36=""),"",R36+(D57*2))</f>
        <v/>
      </c>
      <c r="S37" s="117"/>
      <c r="U37" s="34"/>
      <c r="V37" s="51" t="s">
        <v>316</v>
      </c>
      <c r="W37" s="36">
        <f ca="1">$AT$34</f>
        <v>80.134188810000197</v>
      </c>
      <c r="X37" s="37">
        <f ca="1">$AT$36</f>
        <v>800803.07971600106</v>
      </c>
      <c r="Y37" s="36">
        <f ca="1">$AT$33</f>
        <v>26.058544698736171</v>
      </c>
      <c r="Z37" s="37">
        <f ca="1">$AT$35</f>
        <v>260330.76091545</v>
      </c>
      <c r="AA37" s="38">
        <f>D27</f>
        <v>14</v>
      </c>
      <c r="AB37" s="41">
        <f t="shared" si="6"/>
        <v>4.2671999999999999</v>
      </c>
      <c r="BR37" s="34"/>
    </row>
    <row r="38" spans="1:70" ht="13.8" thickBot="1" x14ac:dyDescent="0.3">
      <c r="A38" s="7"/>
      <c r="B38" s="177"/>
      <c r="C38" s="192" t="s">
        <v>931</v>
      </c>
      <c r="D38" s="197">
        <f t="shared" ref="D38:D54" ca="1" si="21">IF($D$17="","Manual Data Entered",INDIRECT(H38))</f>
        <v>42.8</v>
      </c>
      <c r="E38" s="160"/>
      <c r="F38" s="160"/>
      <c r="G38" s="160"/>
      <c r="H38" s="161" t="str">
        <f>"'Helicopter Data'!"&amp;$H$29&amp;4</f>
        <v>'Helicopter Data'!C4</v>
      </c>
      <c r="I38" s="160"/>
      <c r="J38" s="160"/>
      <c r="K38" s="160"/>
      <c r="L38" s="160"/>
      <c r="M38" s="160"/>
      <c r="N38" s="160"/>
      <c r="O38" s="160"/>
      <c r="P38" s="160"/>
      <c r="Q38" s="160"/>
      <c r="R38" s="160"/>
      <c r="S38" s="9"/>
      <c r="U38" s="34"/>
      <c r="V38" s="51"/>
      <c r="W38" s="36"/>
      <c r="X38" s="37"/>
      <c r="Y38" s="36"/>
      <c r="Z38" s="37"/>
      <c r="AA38" s="38"/>
      <c r="AB38" s="41"/>
      <c r="BR38" s="34"/>
    </row>
    <row r="39" spans="1:70" ht="13.8" thickBot="1" x14ac:dyDescent="0.3">
      <c r="A39" s="7"/>
      <c r="B39" s="91"/>
      <c r="C39" s="189" t="s">
        <v>920</v>
      </c>
      <c r="D39" s="198">
        <f t="shared" ca="1" si="21"/>
        <v>42.8</v>
      </c>
      <c r="E39" s="160"/>
      <c r="F39" s="160"/>
      <c r="G39" s="160"/>
      <c r="H39" s="161" t="str">
        <f>"'Helicopter Data'!"&amp;$H$29&amp;5</f>
        <v>'Helicopter Data'!C5</v>
      </c>
      <c r="I39" s="160"/>
      <c r="J39" s="160"/>
      <c r="K39" s="160"/>
      <c r="L39" s="160"/>
      <c r="M39" s="160"/>
      <c r="N39" s="160"/>
      <c r="O39" s="160"/>
      <c r="P39" s="177"/>
      <c r="Q39" s="177"/>
      <c r="R39" s="116"/>
      <c r="S39" s="9"/>
      <c r="U39" s="34"/>
      <c r="V39" s="51" t="s">
        <v>317</v>
      </c>
      <c r="W39" s="36">
        <f ca="1">$AU$34</f>
        <v>80.134188810000197</v>
      </c>
      <c r="X39" s="37">
        <f ca="1">$AU$36</f>
        <v>800803.07971600106</v>
      </c>
      <c r="Y39" s="36">
        <f ca="1">$AU$33</f>
        <v>26.058288641261633</v>
      </c>
      <c r="Z39" s="37">
        <f ca="1">$AU$35</f>
        <v>260329.83910854199</v>
      </c>
      <c r="AA39" s="38">
        <f>D27</f>
        <v>14</v>
      </c>
      <c r="AB39" s="41">
        <f t="shared" si="6"/>
        <v>4.2671999999999999</v>
      </c>
      <c r="AX39" s="47" t="s">
        <v>443</v>
      </c>
      <c r="AY39" s="47" t="s">
        <v>263</v>
      </c>
      <c r="AZ39" s="47" t="s">
        <v>272</v>
      </c>
      <c r="BA39" s="47" t="s">
        <v>273</v>
      </c>
      <c r="BB39" s="47" t="s">
        <v>271</v>
      </c>
      <c r="BC39" s="47" t="s">
        <v>270</v>
      </c>
      <c r="BD39" s="44" t="s">
        <v>274</v>
      </c>
      <c r="BE39" s="44" t="s">
        <v>275</v>
      </c>
      <c r="BF39" s="44" t="s">
        <v>276</v>
      </c>
      <c r="BG39" s="47" t="s">
        <v>277</v>
      </c>
      <c r="BH39" s="47" t="s">
        <v>278</v>
      </c>
      <c r="BI39" s="47" t="s">
        <v>279</v>
      </c>
      <c r="BJ39" s="44" t="s">
        <v>280</v>
      </c>
      <c r="BK39" s="44" t="s">
        <v>281</v>
      </c>
      <c r="BL39" s="44" t="s">
        <v>282</v>
      </c>
      <c r="BM39" s="47" t="s">
        <v>283</v>
      </c>
      <c r="BN39" s="47" t="s">
        <v>439</v>
      </c>
      <c r="BR39" s="34"/>
    </row>
    <row r="40" spans="1:70" ht="13.8" thickBot="1" x14ac:dyDescent="0.3">
      <c r="A40" s="7"/>
      <c r="B40" s="91"/>
      <c r="C40" s="188" t="s">
        <v>2</v>
      </c>
      <c r="D40" s="198">
        <f t="shared" ca="1" si="21"/>
        <v>11.2</v>
      </c>
      <c r="E40" s="160"/>
      <c r="F40" s="160"/>
      <c r="G40" s="160"/>
      <c r="H40" s="161" t="str">
        <f>"'Helicopter Data'!"&amp;$H$29&amp;6</f>
        <v>'Helicopter Data'!C6</v>
      </c>
      <c r="I40" s="160"/>
      <c r="J40" s="160"/>
      <c r="K40" s="160"/>
      <c r="L40" s="160"/>
      <c r="M40" s="160"/>
      <c r="N40" s="160"/>
      <c r="O40" s="226" t="s">
        <v>903</v>
      </c>
      <c r="P40" s="226"/>
      <c r="Q40" s="226"/>
      <c r="R40" s="121">
        <v>0</v>
      </c>
      <c r="S40" s="201" t="str">
        <f>IF(AND(R40&lt;&gt;"",R40&gt;0,R40&lt;R37),"Less than R37","")</f>
        <v/>
      </c>
      <c r="U40" s="34"/>
      <c r="V40" s="51" t="s">
        <v>318</v>
      </c>
      <c r="W40" s="36">
        <f ca="1">$AV$34</f>
        <v>80.13447231000022</v>
      </c>
      <c r="X40" s="37">
        <f ca="1">$AV$36</f>
        <v>800804.10031600099</v>
      </c>
      <c r="Y40" s="36">
        <f ca="1">$AV$33</f>
        <v>26.058288641261633</v>
      </c>
      <c r="Z40" s="37">
        <f ca="1">$AV$35</f>
        <v>260329.83910854199</v>
      </c>
      <c r="AA40" s="38">
        <f>D27</f>
        <v>14</v>
      </c>
      <c r="AB40" s="41">
        <f t="shared" si="6"/>
        <v>4.2671999999999999</v>
      </c>
      <c r="AX40" s="48">
        <f ca="1">$O$47/2+4000</f>
        <v>4034.5520000000001</v>
      </c>
      <c r="AY40" s="48">
        <f ca="1">$O$47/2</f>
        <v>34.552</v>
      </c>
      <c r="AZ40" s="48">
        <v>250</v>
      </c>
      <c r="BA40" s="48">
        <v>250</v>
      </c>
      <c r="BB40" s="48">
        <f ca="1">$O$47/2</f>
        <v>34.552</v>
      </c>
      <c r="BC40" s="48">
        <f ca="1">$O$47/2</f>
        <v>34.552</v>
      </c>
      <c r="BD40" s="45">
        <f ca="1">250-$O$47/2</f>
        <v>215.44800000000001</v>
      </c>
      <c r="BE40" s="45">
        <f ca="1">250-$O$47/2</f>
        <v>215.44800000000001</v>
      </c>
      <c r="BF40" s="45">
        <f ca="1">$O$47</f>
        <v>69.103999999999999</v>
      </c>
      <c r="BG40" s="48">
        <f ca="1">250-$O$47/2</f>
        <v>215.44800000000001</v>
      </c>
      <c r="BH40" s="48">
        <f ca="1">250-$O$47/2</f>
        <v>215.44800000000001</v>
      </c>
      <c r="BI40" s="48">
        <f ca="1">$O$47</f>
        <v>69.103999999999999</v>
      </c>
      <c r="BJ40" s="45">
        <f ca="1">$O$47/2+2000</f>
        <v>2034.5519999999999</v>
      </c>
      <c r="BK40" s="45">
        <f ca="1">$AB$5</f>
        <v>142.27600000000001</v>
      </c>
      <c r="BL40" s="45">
        <f ca="1">$AB$5</f>
        <v>142.27600000000001</v>
      </c>
      <c r="BM40" s="48">
        <f ca="1">$AB$5+100</f>
        <v>242.27600000000001</v>
      </c>
      <c r="BN40" s="48">
        <f ca="1">$AB$5+100</f>
        <v>242.27600000000001</v>
      </c>
      <c r="BR40" s="34"/>
    </row>
    <row r="41" spans="1:70" ht="13.8" thickBot="1" x14ac:dyDescent="0.3">
      <c r="A41" s="7"/>
      <c r="B41" s="184"/>
      <c r="C41" s="193" t="s">
        <v>776</v>
      </c>
      <c r="D41" s="198">
        <f t="shared" ca="1" si="21"/>
        <v>36.1</v>
      </c>
      <c r="E41" s="160"/>
      <c r="F41" s="160"/>
      <c r="G41" s="160"/>
      <c r="H41" s="161" t="str">
        <f>"'Helicopter Data'!"&amp;$H$29&amp;7</f>
        <v>'Helicopter Data'!C7</v>
      </c>
      <c r="I41" s="160"/>
      <c r="J41" s="160"/>
      <c r="K41" s="160"/>
      <c r="L41" s="160"/>
      <c r="M41" s="160"/>
      <c r="N41" s="160"/>
      <c r="O41" s="226" t="s">
        <v>911</v>
      </c>
      <c r="P41" s="226"/>
      <c r="Q41" s="226"/>
      <c r="R41" s="119" t="str">
        <f>IF(OR(R40=0,R40=""),"",R40+(D59*2))</f>
        <v/>
      </c>
      <c r="S41" s="117"/>
      <c r="U41" s="35"/>
      <c r="V41" s="52" t="s">
        <v>319</v>
      </c>
      <c r="W41" s="36">
        <f ca="1">$AW$34</f>
        <v>80.13447231000022</v>
      </c>
      <c r="X41" s="37">
        <f ca="1">$AW$36</f>
        <v>800804.10031600099</v>
      </c>
      <c r="Y41" s="36">
        <f ca="1">$AW$33</f>
        <v>26.058544698736171</v>
      </c>
      <c r="Z41" s="37">
        <f ca="1">$AW$35</f>
        <v>260330.76091545</v>
      </c>
      <c r="AA41" s="39">
        <f>D27</f>
        <v>14</v>
      </c>
      <c r="AB41" s="42">
        <f t="shared" si="6"/>
        <v>4.2671999999999999</v>
      </c>
      <c r="AX41" s="48">
        <f>$D$25</f>
        <v>260330.3</v>
      </c>
      <c r="AY41" s="48">
        <f>$D$25</f>
        <v>260330.3</v>
      </c>
      <c r="AZ41" s="48">
        <f ca="1">AX59</f>
        <v>260330.29812953799</v>
      </c>
      <c r="BA41" s="48">
        <f ca="1">AX59</f>
        <v>260330.29812953799</v>
      </c>
      <c r="BB41" s="48">
        <f ca="1">AY59</f>
        <v>260330.30001186201</v>
      </c>
      <c r="BC41" s="48">
        <f ca="1">AY59</f>
        <v>260330.30001186201</v>
      </c>
      <c r="BD41" s="45">
        <f ca="1">BC59</f>
        <v>260330.642223106</v>
      </c>
      <c r="BE41" s="45">
        <f ca="1">BF59</f>
        <v>260330.64222744803</v>
      </c>
      <c r="BF41" s="45">
        <f ca="1">BC59</f>
        <v>260330.642223106</v>
      </c>
      <c r="BG41" s="48">
        <f ca="1">BB59</f>
        <v>260329.95780088901</v>
      </c>
      <c r="BH41" s="48">
        <f ca="1">BI59</f>
        <v>260329.95779544802</v>
      </c>
      <c r="BI41" s="48">
        <f ca="1">BB59</f>
        <v>260329.95780088901</v>
      </c>
      <c r="BJ41" s="45">
        <f>$D$25</f>
        <v>260330.3</v>
      </c>
      <c r="BK41" s="45">
        <f ca="1">BJ59</f>
        <v>260330.29953328898</v>
      </c>
      <c r="BL41" s="45">
        <f ca="1">BJ59</f>
        <v>260330.29953328898</v>
      </c>
      <c r="BM41" s="48">
        <f ca="1">BJ59</f>
        <v>260330.29953328898</v>
      </c>
      <c r="BN41" s="48">
        <f ca="1">BJ59</f>
        <v>260330.29953328898</v>
      </c>
      <c r="BR41" s="34"/>
    </row>
    <row r="42" spans="1:70" ht="13.8" thickBot="1" x14ac:dyDescent="0.3">
      <c r="A42" s="7"/>
      <c r="B42" s="216" t="s">
        <v>4</v>
      </c>
      <c r="C42" s="194" t="s">
        <v>18</v>
      </c>
      <c r="D42" s="198">
        <f t="shared" ca="1" si="21"/>
        <v>4</v>
      </c>
      <c r="E42" s="160"/>
      <c r="F42" s="160"/>
      <c r="G42" s="160"/>
      <c r="H42" s="161" t="str">
        <f>"'Helicopter Data'!"&amp;$H$29&amp;8</f>
        <v>'Helicopter Data'!C8</v>
      </c>
      <c r="I42" s="160"/>
      <c r="J42" s="160"/>
      <c r="K42" s="160"/>
      <c r="L42" s="160"/>
      <c r="M42" s="160"/>
      <c r="N42" s="160"/>
      <c r="O42" s="160"/>
      <c r="P42" s="8"/>
      <c r="Q42" s="8"/>
      <c r="R42" s="8"/>
      <c r="S42" s="9"/>
      <c r="T42" s="60" t="s">
        <v>322</v>
      </c>
      <c r="U42" t="s">
        <v>325</v>
      </c>
      <c r="V42" s="53" t="s">
        <v>326</v>
      </c>
      <c r="W42" s="36">
        <f ca="1">$AX$34</f>
        <v>80.122041629400442</v>
      </c>
      <c r="X42" s="37">
        <f ca="1">$AX$36</f>
        <v>800719.34986584191</v>
      </c>
      <c r="Y42" s="36">
        <f ca="1">$AX$33</f>
        <v>26.058416147093752</v>
      </c>
      <c r="Z42" s="37">
        <f ca="1">$AX$35</f>
        <v>260330.29812953799</v>
      </c>
      <c r="AA42" s="39">
        <f>D27+500</f>
        <v>514</v>
      </c>
      <c r="AB42" s="42">
        <f t="shared" si="6"/>
        <v>156.66720000000001</v>
      </c>
      <c r="AX42" s="48">
        <f>$D$26</f>
        <v>800803.59</v>
      </c>
      <c r="AY42" s="48">
        <f>$D$26</f>
        <v>800803.59</v>
      </c>
      <c r="AZ42" s="48">
        <f ca="1">AX60</f>
        <v>800847.83016615803</v>
      </c>
      <c r="BA42" s="48">
        <f ca="1">AX60</f>
        <v>800847.83016615803</v>
      </c>
      <c r="BB42" s="48">
        <f ca="1">AY60</f>
        <v>800803.96888970793</v>
      </c>
      <c r="BC42" s="48">
        <f ca="1">AY60</f>
        <v>800803.96888970793</v>
      </c>
      <c r="BD42" s="45">
        <f ca="1">BC60</f>
        <v>800803.96888000099</v>
      </c>
      <c r="BE42" s="45">
        <f ca="1">BF60</f>
        <v>800803.21113197401</v>
      </c>
      <c r="BF42" s="45">
        <f ca="1">BC60</f>
        <v>800803.96888000099</v>
      </c>
      <c r="BG42" s="48">
        <f ca="1">BB60</f>
        <v>800803.96888000099</v>
      </c>
      <c r="BH42" s="48">
        <f ca="1">BI60</f>
        <v>800803.211133198</v>
      </c>
      <c r="BI42" s="48">
        <f ca="1">BB60</f>
        <v>800803.96888000099</v>
      </c>
      <c r="BJ42" s="45">
        <f>$D$26</f>
        <v>800803.59</v>
      </c>
      <c r="BK42" s="45">
        <f ca="1">BJ60</f>
        <v>800825.89952798001</v>
      </c>
      <c r="BL42" s="45">
        <f ca="1">BJ60</f>
        <v>800825.89952798001</v>
      </c>
      <c r="BM42" s="48">
        <f ca="1">BJ60</f>
        <v>800825.89952798001</v>
      </c>
      <c r="BN42" s="48">
        <f ca="1">BJ60</f>
        <v>800825.89952798001</v>
      </c>
      <c r="BR42" s="34"/>
    </row>
    <row r="43" spans="1:70" ht="13.8" thickBot="1" x14ac:dyDescent="0.3">
      <c r="A43" s="7"/>
      <c r="B43" s="216"/>
      <c r="C43" s="194" t="s">
        <v>3</v>
      </c>
      <c r="D43" s="198">
        <f t="shared" ca="1" si="21"/>
        <v>10</v>
      </c>
      <c r="E43" s="160"/>
      <c r="F43" s="160"/>
      <c r="G43" s="160"/>
      <c r="H43" s="161" t="str">
        <f>"'Helicopter Data'!"&amp;$H$29&amp;9</f>
        <v>'Helicopter Data'!C9</v>
      </c>
      <c r="I43" s="160"/>
      <c r="J43" s="160"/>
      <c r="K43" s="160"/>
      <c r="L43" s="160"/>
      <c r="M43" s="160"/>
      <c r="N43" s="160"/>
      <c r="O43" s="160"/>
      <c r="P43" s="8"/>
      <c r="Q43" s="8"/>
      <c r="R43" s="8"/>
      <c r="S43" s="9"/>
      <c r="T43" s="58" t="s">
        <v>312</v>
      </c>
      <c r="U43" s="26" t="s">
        <v>285</v>
      </c>
      <c r="V43" s="27" t="s">
        <v>286</v>
      </c>
      <c r="W43" s="36">
        <f ca="1">$BB$34</f>
        <v>80.134225320000198</v>
      </c>
      <c r="X43" s="37">
        <f ca="1">$BB$36</f>
        <v>800803.21115200105</v>
      </c>
      <c r="Y43" s="36">
        <f ca="1">$BB$33</f>
        <v>26.058511728640624</v>
      </c>
      <c r="Z43" s="37">
        <f ca="1">$BB$35</f>
        <v>260330.642223106</v>
      </c>
      <c r="AA43" s="37">
        <f>$D$27</f>
        <v>14</v>
      </c>
      <c r="AB43" s="40">
        <f t="shared" si="6"/>
        <v>4.2671999999999999</v>
      </c>
      <c r="AX43" s="48">
        <f>$X$5</f>
        <v>270</v>
      </c>
      <c r="AY43" s="48">
        <f>$X$5</f>
        <v>270</v>
      </c>
      <c r="AZ43" s="48">
        <f>$X$14</f>
        <v>360</v>
      </c>
      <c r="BA43" s="48">
        <f>$X$13</f>
        <v>180</v>
      </c>
      <c r="BB43" s="48">
        <f>$X$13</f>
        <v>180</v>
      </c>
      <c r="BC43" s="48">
        <f>$X$14</f>
        <v>360</v>
      </c>
      <c r="BD43" s="45">
        <f>$X$14</f>
        <v>360</v>
      </c>
      <c r="BE43" s="45">
        <f>$X$14</f>
        <v>360</v>
      </c>
      <c r="BF43" s="45">
        <f>$X$12</f>
        <v>90</v>
      </c>
      <c r="BG43" s="48">
        <f>$X$13</f>
        <v>180</v>
      </c>
      <c r="BH43" s="48">
        <f>$X$13</f>
        <v>180</v>
      </c>
      <c r="BI43" s="48">
        <f>$X$12</f>
        <v>90</v>
      </c>
      <c r="BJ43" s="45">
        <f>$X$5</f>
        <v>270</v>
      </c>
      <c r="BK43" s="45">
        <f>$X$14</f>
        <v>360</v>
      </c>
      <c r="BL43" s="45">
        <f>$X$13</f>
        <v>180</v>
      </c>
      <c r="BM43" s="48">
        <f>$X$14</f>
        <v>360</v>
      </c>
      <c r="BN43" s="48">
        <f>$X$13</f>
        <v>180</v>
      </c>
    </row>
    <row r="44" spans="1:70" ht="13.8" thickBot="1" x14ac:dyDescent="0.3">
      <c r="A44" s="7"/>
      <c r="B44" s="185"/>
      <c r="C44" s="193" t="s">
        <v>922</v>
      </c>
      <c r="D44" s="198">
        <f t="shared" ca="1" si="21"/>
        <v>25</v>
      </c>
      <c r="E44" s="160"/>
      <c r="F44" s="160"/>
      <c r="G44" s="160"/>
      <c r="H44" s="161" t="str">
        <f>"'Helicopter Data'!"&amp;$H$29&amp;10</f>
        <v>'Helicopter Data'!C10</v>
      </c>
      <c r="I44" s="160"/>
      <c r="J44" s="160"/>
      <c r="K44" s="160"/>
      <c r="L44" s="160"/>
      <c r="M44" s="160"/>
      <c r="N44" s="160"/>
      <c r="O44" s="160"/>
      <c r="P44" s="8"/>
      <c r="Q44" s="8"/>
      <c r="R44" s="8"/>
      <c r="S44" s="9"/>
      <c r="T44" s="58"/>
      <c r="U44" s="28"/>
      <c r="V44" s="29" t="s">
        <v>290</v>
      </c>
      <c r="W44" s="36">
        <f ca="1">$BC$34</f>
        <v>80.134225320000198</v>
      </c>
      <c r="X44" s="37">
        <f ca="1">$BC$36</f>
        <v>800803.21115200105</v>
      </c>
      <c r="Y44" s="36">
        <f ca="1">$BC$33</f>
        <v>26.058321611358156</v>
      </c>
      <c r="Z44" s="37">
        <f ca="1">$BC$35</f>
        <v>260329.95780088901</v>
      </c>
      <c r="AA44" s="37">
        <f>$D$27</f>
        <v>14</v>
      </c>
      <c r="AB44" s="41">
        <f t="shared" si="6"/>
        <v>4.2671999999999999</v>
      </c>
      <c r="AX44" s="48">
        <f t="shared" ref="AX44:BN44" ca="1" si="22">ROUND((AX40/6076.115489),15)</f>
        <v>0.66400186225953395</v>
      </c>
      <c r="AY44" s="48">
        <f t="shared" ca="1" si="22"/>
        <v>5.686527858556E-3</v>
      </c>
      <c r="AZ44" s="48">
        <f t="shared" si="22"/>
        <v>4.1144708400061E-2</v>
      </c>
      <c r="BA44" s="48">
        <f t="shared" si="22"/>
        <v>4.1144708400061E-2</v>
      </c>
      <c r="BB44" s="48">
        <f t="shared" ca="1" si="22"/>
        <v>5.686527858556E-3</v>
      </c>
      <c r="BC44" s="48">
        <f t="shared" ca="1" si="22"/>
        <v>5.686527858556E-3</v>
      </c>
      <c r="BD44" s="45">
        <f t="shared" ca="1" si="22"/>
        <v>3.5458180541505999E-2</v>
      </c>
      <c r="BE44" s="45">
        <f t="shared" ca="1" si="22"/>
        <v>3.5458180541505999E-2</v>
      </c>
      <c r="BF44" s="45">
        <f t="shared" ca="1" si="22"/>
        <v>1.1373055717111001E-2</v>
      </c>
      <c r="BG44" s="48">
        <f t="shared" ca="1" si="22"/>
        <v>3.5458180541505999E-2</v>
      </c>
      <c r="BH44" s="48">
        <f t="shared" ca="1" si="22"/>
        <v>3.5458180541505999E-2</v>
      </c>
      <c r="BI44" s="48">
        <f t="shared" ca="1" si="22"/>
        <v>1.1373055717111001E-2</v>
      </c>
      <c r="BJ44" s="45">
        <f t="shared" ca="1" si="22"/>
        <v>0.334844195059045</v>
      </c>
      <c r="BK44" s="45">
        <f t="shared" ca="1" si="22"/>
        <v>2.3415618129308001E-2</v>
      </c>
      <c r="BL44" s="45">
        <f t="shared" ca="1" si="22"/>
        <v>2.3415618129308001E-2</v>
      </c>
      <c r="BM44" s="48">
        <f t="shared" ca="1" si="22"/>
        <v>3.9873501489333003E-2</v>
      </c>
      <c r="BN44" s="48">
        <f t="shared" ca="1" si="22"/>
        <v>3.9873501489333003E-2</v>
      </c>
    </row>
    <row r="45" spans="1:70" ht="14.4" thickTop="1" thickBot="1" x14ac:dyDescent="0.3">
      <c r="A45" s="7"/>
      <c r="B45" s="99"/>
      <c r="C45" s="195" t="s">
        <v>7</v>
      </c>
      <c r="D45" s="198">
        <f t="shared" ca="1" si="21"/>
        <v>6.7</v>
      </c>
      <c r="E45" s="112"/>
      <c r="F45" s="154"/>
      <c r="G45" s="147"/>
      <c r="H45" s="148" t="str">
        <f>"'Helicopter Data'!"&amp;$H$29&amp;11</f>
        <v>'Helicopter Data'!C11</v>
      </c>
      <c r="I45" s="149"/>
      <c r="J45" s="149"/>
      <c r="K45" s="149"/>
      <c r="L45" s="149"/>
      <c r="M45" s="149"/>
      <c r="N45" s="149"/>
      <c r="O45" s="147"/>
      <c r="P45" s="147"/>
      <c r="Q45" s="147"/>
      <c r="R45" s="150"/>
      <c r="S45" s="9"/>
      <c r="T45" s="58"/>
      <c r="U45" s="28"/>
      <c r="V45" s="29" t="s">
        <v>293</v>
      </c>
      <c r="W45" s="36">
        <f ca="1">$AZ$34</f>
        <v>80.122041629999757</v>
      </c>
      <c r="X45" s="37">
        <f ca="1">$AZ$36</f>
        <v>800719.34986799897</v>
      </c>
      <c r="Y45" s="36">
        <f ca="1">$AZ$33</f>
        <v>26.057728355908893</v>
      </c>
      <c r="Z45" s="37">
        <f ca="1">$AZ$35</f>
        <v>260327.822081272</v>
      </c>
      <c r="AA45" s="38">
        <f>$D$27+500</f>
        <v>514</v>
      </c>
      <c r="AB45" s="41">
        <f t="shared" si="6"/>
        <v>156.66720000000001</v>
      </c>
      <c r="AX45" s="48">
        <f t="shared" ref="AX45:BN45" si="23">ROUND((((ROUND(((((((AX41)-((TRUNC(AX41/100))*100))/60)+(TRUNC(AX41/100))-((TRUNC(AX41/10000))*100))/60)+((TRUNC(AX41/10000))))*1000000,2))/1000000)*(PI()/180)),15)</f>
        <v>0.45480516874807703</v>
      </c>
      <c r="AY45" s="48">
        <f t="shared" si="23"/>
        <v>0.45480516874807703</v>
      </c>
      <c r="AZ45" s="48">
        <f t="shared" ca="1" si="23"/>
        <v>0.45480515967236501</v>
      </c>
      <c r="BA45" s="48">
        <f t="shared" ca="1" si="23"/>
        <v>0.45480515967236501</v>
      </c>
      <c r="BB45" s="48">
        <f t="shared" ca="1" si="23"/>
        <v>0.45480516874807703</v>
      </c>
      <c r="BC45" s="48">
        <f t="shared" ca="1" si="23"/>
        <v>0.45480516874807703</v>
      </c>
      <c r="BD45" s="45">
        <f t="shared" ca="1" si="23"/>
        <v>0.45480682785806398</v>
      </c>
      <c r="BE45" s="45">
        <f t="shared" ca="1" si="23"/>
        <v>0.45480682785806398</v>
      </c>
      <c r="BF45" s="45">
        <f t="shared" ca="1" si="23"/>
        <v>0.45480682785806398</v>
      </c>
      <c r="BG45" s="48">
        <f t="shared" ca="1" si="23"/>
        <v>0.45480350963809002</v>
      </c>
      <c r="BH45" s="48">
        <f t="shared" ca="1" si="23"/>
        <v>0.45480350963809002</v>
      </c>
      <c r="BI45" s="48">
        <f t="shared" ca="1" si="23"/>
        <v>0.45480350963809002</v>
      </c>
      <c r="BJ45" s="45">
        <f t="shared" si="23"/>
        <v>0.45480516874807703</v>
      </c>
      <c r="BK45" s="45">
        <f t="shared" ca="1" si="23"/>
        <v>0.45480516647914898</v>
      </c>
      <c r="BL45" s="45">
        <f t="shared" ca="1" si="23"/>
        <v>0.45480516647914898</v>
      </c>
      <c r="BM45" s="48">
        <f t="shared" ca="1" si="23"/>
        <v>0.45480516647914898</v>
      </c>
      <c r="BN45" s="48">
        <f t="shared" ca="1" si="23"/>
        <v>0.45480516647914898</v>
      </c>
    </row>
    <row r="46" spans="1:70" ht="13.8" thickBot="1" x14ac:dyDescent="0.3">
      <c r="A46" s="7"/>
      <c r="B46" s="100" t="s">
        <v>6</v>
      </c>
      <c r="C46" s="195" t="s">
        <v>18</v>
      </c>
      <c r="D46" s="198">
        <f t="shared" ca="1" si="21"/>
        <v>2</v>
      </c>
      <c r="E46" s="112"/>
      <c r="F46" s="143"/>
      <c r="G46" s="142"/>
      <c r="H46" s="151" t="str">
        <f>"'Helicopter Data'!"&amp;$H$29&amp;12</f>
        <v>'Helicopter Data'!C12</v>
      </c>
      <c r="I46" s="142"/>
      <c r="J46" s="142"/>
      <c r="K46" s="142"/>
      <c r="L46" s="142"/>
      <c r="M46" s="142"/>
      <c r="N46" s="142"/>
      <c r="O46" s="219" t="s">
        <v>184</v>
      </c>
      <c r="P46" s="220"/>
      <c r="Q46" s="142"/>
      <c r="R46" s="142"/>
      <c r="S46" s="126"/>
      <c r="T46" s="58"/>
      <c r="U46" s="30"/>
      <c r="V46" s="31" t="s">
        <v>292</v>
      </c>
      <c r="W46" s="36">
        <f ca="1">$BA$34</f>
        <v>80.122041629999757</v>
      </c>
      <c r="X46" s="37">
        <f ca="1">$BA$36</f>
        <v>800719.34986799897</v>
      </c>
      <c r="Y46" s="36">
        <f ca="1">$BA$33</f>
        <v>26.059103944026184</v>
      </c>
      <c r="Z46" s="37">
        <f ca="1">$BA$35</f>
        <v>260332.77419849401</v>
      </c>
      <c r="AA46" s="38">
        <f>$D$27+500</f>
        <v>514</v>
      </c>
      <c r="AB46" s="42">
        <f t="shared" si="6"/>
        <v>156.66720000000001</v>
      </c>
      <c r="AX46" s="48">
        <f t="shared" ref="AX46:BN46" si="24">ROUND((((ROUND(((((((AX42)-((TRUNC(AX42/100))*100))/60)+(TRUNC(AX42/100))-((TRUNC(AX42/10000))*100))/60)+((TRUNC(AX42/10000))))*1000000,2))/1000000)*(PI()/180)),15)</f>
        <v>1.39860791215351</v>
      </c>
      <c r="AY46" s="48">
        <f t="shared" si="24"/>
        <v>1.39860791215351</v>
      </c>
      <c r="AZ46" s="48">
        <f t="shared" ca="1" si="24"/>
        <v>1.39882239444356</v>
      </c>
      <c r="BA46" s="48">
        <f t="shared" ca="1" si="24"/>
        <v>1.39882239444356</v>
      </c>
      <c r="BB46" s="48">
        <f t="shared" ca="1" si="24"/>
        <v>1.39860974893802</v>
      </c>
      <c r="BC46" s="48">
        <f t="shared" ca="1" si="24"/>
        <v>1.39860974893802</v>
      </c>
      <c r="BD46" s="45">
        <f t="shared" ca="1" si="24"/>
        <v>1.39860974893802</v>
      </c>
      <c r="BE46" s="45">
        <f t="shared" ca="1" si="24"/>
        <v>1.39860607519447</v>
      </c>
      <c r="BF46" s="45">
        <f t="shared" ca="1" si="24"/>
        <v>1.39860974893802</v>
      </c>
      <c r="BG46" s="48">
        <f t="shared" ca="1" si="24"/>
        <v>1.39860974893802</v>
      </c>
      <c r="BH46" s="48">
        <f t="shared" ca="1" si="24"/>
        <v>1.39860607519447</v>
      </c>
      <c r="BI46" s="48">
        <f t="shared" ca="1" si="24"/>
        <v>1.39860974893802</v>
      </c>
      <c r="BJ46" s="45">
        <f t="shared" si="24"/>
        <v>1.39860791215351</v>
      </c>
      <c r="BK46" s="45">
        <f t="shared" ca="1" si="24"/>
        <v>1.39871607177805</v>
      </c>
      <c r="BL46" s="45">
        <f t="shared" ca="1" si="24"/>
        <v>1.39871607177805</v>
      </c>
      <c r="BM46" s="48">
        <f t="shared" ca="1" si="24"/>
        <v>1.39871607177805</v>
      </c>
      <c r="BN46" s="48">
        <f t="shared" ca="1" si="24"/>
        <v>1.39871607177805</v>
      </c>
    </row>
    <row r="47" spans="1:70" ht="13.8" thickBot="1" x14ac:dyDescent="0.3">
      <c r="A47" s="7"/>
      <c r="B47" s="101"/>
      <c r="C47" s="195" t="s">
        <v>3</v>
      </c>
      <c r="D47" s="198">
        <f t="shared" ca="1" si="21"/>
        <v>2.2999999999999998</v>
      </c>
      <c r="E47" s="112"/>
      <c r="F47" s="145"/>
      <c r="G47" s="135"/>
      <c r="H47" s="124" t="str">
        <f>"'Helicopter Data'!"&amp;$H$29&amp;13</f>
        <v>'Helicopter Data'!C13</v>
      </c>
      <c r="I47" s="123"/>
      <c r="J47" s="123"/>
      <c r="K47" s="123"/>
      <c r="L47" s="123"/>
      <c r="M47" s="123"/>
      <c r="N47" s="123"/>
      <c r="O47" s="229">
        <f ca="1">MAX(D58,R37,R40)</f>
        <v>69.103999999999999</v>
      </c>
      <c r="P47" s="229"/>
      <c r="Q47" s="136"/>
      <c r="R47" s="152"/>
      <c r="S47" s="9"/>
      <c r="T47" s="58"/>
      <c r="U47" s="26" t="s">
        <v>445</v>
      </c>
      <c r="V47" s="27" t="s">
        <v>286</v>
      </c>
      <c r="W47" s="36">
        <f ca="1">$BB$34</f>
        <v>80.134225320000198</v>
      </c>
      <c r="X47" s="37">
        <f ca="1">$BB$36</f>
        <v>800803.21115200105</v>
      </c>
      <c r="Y47" s="36">
        <f ca="1">$BB$33</f>
        <v>26.058511728640624</v>
      </c>
      <c r="Z47" s="37">
        <f ca="1">$BB$35</f>
        <v>260330.642223106</v>
      </c>
      <c r="AA47" s="37">
        <f>$D$27</f>
        <v>14</v>
      </c>
      <c r="AB47" s="40">
        <f t="shared" si="6"/>
        <v>4.2671999999999999</v>
      </c>
      <c r="AX47" s="48">
        <f t="shared" ref="AX47:BN47" si="25">ROUND((((((AX43-(TRUNC(AX43)))*0.6)*100)-(TRUNC(((AX43-(TRUNC(AX43)))*0.6)*100)))*0.006)+(TRUNC(AX43)+((TRUNC(((AX43-(TRUNC(AX43)))*0.6)*100))/100)),15)</f>
        <v>270</v>
      </c>
      <c r="AY47" s="48">
        <f t="shared" si="25"/>
        <v>270</v>
      </c>
      <c r="AZ47" s="48">
        <f t="shared" si="25"/>
        <v>360</v>
      </c>
      <c r="BA47" s="48">
        <f t="shared" si="25"/>
        <v>180</v>
      </c>
      <c r="BB47" s="48">
        <f t="shared" si="25"/>
        <v>180</v>
      </c>
      <c r="BC47" s="48">
        <f t="shared" si="25"/>
        <v>360</v>
      </c>
      <c r="BD47" s="45">
        <f t="shared" si="25"/>
        <v>360</v>
      </c>
      <c r="BE47" s="45">
        <f t="shared" si="25"/>
        <v>360</v>
      </c>
      <c r="BF47" s="45">
        <f t="shared" si="25"/>
        <v>90</v>
      </c>
      <c r="BG47" s="48">
        <f t="shared" si="25"/>
        <v>180</v>
      </c>
      <c r="BH47" s="48">
        <f t="shared" si="25"/>
        <v>180</v>
      </c>
      <c r="BI47" s="48">
        <f t="shared" si="25"/>
        <v>90</v>
      </c>
      <c r="BJ47" s="45">
        <f t="shared" si="25"/>
        <v>270</v>
      </c>
      <c r="BK47" s="45">
        <f t="shared" si="25"/>
        <v>360</v>
      </c>
      <c r="BL47" s="45">
        <f t="shared" si="25"/>
        <v>180</v>
      </c>
      <c r="BM47" s="48">
        <f t="shared" si="25"/>
        <v>360</v>
      </c>
      <c r="BN47" s="48">
        <f t="shared" si="25"/>
        <v>180</v>
      </c>
    </row>
    <row r="48" spans="1:70" ht="13.8" thickBot="1" x14ac:dyDescent="0.3">
      <c r="A48" s="7"/>
      <c r="B48" s="184"/>
      <c r="C48" s="196" t="s">
        <v>8</v>
      </c>
      <c r="D48" s="198" t="str">
        <f t="shared" ca="1" si="21"/>
        <v>Wheel</v>
      </c>
      <c r="E48" s="112"/>
      <c r="F48" s="145"/>
      <c r="G48" s="127"/>
      <c r="H48" s="122" t="str">
        <f>"'Helicopter Data'!"&amp;$H$29&amp;14</f>
        <v>'Helicopter Data'!C14</v>
      </c>
      <c r="I48" s="83"/>
      <c r="J48" s="83"/>
      <c r="K48" s="83"/>
      <c r="L48" s="83"/>
      <c r="M48" s="83"/>
      <c r="N48" s="83"/>
      <c r="O48" s="137"/>
      <c r="P48" s="137"/>
      <c r="Q48" s="128"/>
      <c r="R48" s="142"/>
      <c r="S48" s="126"/>
      <c r="T48" s="58"/>
      <c r="U48" s="28"/>
      <c r="V48" s="29" t="s">
        <v>295</v>
      </c>
      <c r="W48" s="36">
        <f ca="1">$BI$34</f>
        <v>80.134435805563058</v>
      </c>
      <c r="X48" s="37">
        <f ca="1">$BI$36</f>
        <v>800803.96890002699</v>
      </c>
      <c r="Y48" s="36">
        <f ca="1">$BI$33</f>
        <v>26.058511729846643</v>
      </c>
      <c r="Z48" s="37">
        <f ca="1">$BI$35</f>
        <v>260330.64222744803</v>
      </c>
      <c r="AA48" s="37">
        <f>$D$27</f>
        <v>14</v>
      </c>
      <c r="AB48" s="41">
        <f t="shared" si="6"/>
        <v>4.2671999999999999</v>
      </c>
      <c r="AX48" s="48">
        <f t="shared" ref="AX48:BN48" si="26">ROUND((AX43*(PI()/180)),15)</f>
        <v>4.7123889803846897</v>
      </c>
      <c r="AY48" s="48">
        <f t="shared" si="26"/>
        <v>4.7123889803846897</v>
      </c>
      <c r="AZ48" s="48">
        <f t="shared" si="26"/>
        <v>6.2831853071795898</v>
      </c>
      <c r="BA48" s="48">
        <f t="shared" si="26"/>
        <v>3.14159265358979</v>
      </c>
      <c r="BB48" s="48">
        <f t="shared" si="26"/>
        <v>3.14159265358979</v>
      </c>
      <c r="BC48" s="48">
        <f t="shared" si="26"/>
        <v>6.2831853071795898</v>
      </c>
      <c r="BD48" s="45">
        <f t="shared" si="26"/>
        <v>6.2831853071795898</v>
      </c>
      <c r="BE48" s="45">
        <f t="shared" si="26"/>
        <v>6.2831853071795898</v>
      </c>
      <c r="BF48" s="45">
        <f t="shared" si="26"/>
        <v>1.5707963267949001</v>
      </c>
      <c r="BG48" s="48">
        <f t="shared" si="26"/>
        <v>3.14159265358979</v>
      </c>
      <c r="BH48" s="48">
        <f t="shared" si="26"/>
        <v>3.14159265358979</v>
      </c>
      <c r="BI48" s="48">
        <f t="shared" si="26"/>
        <v>1.5707963267949001</v>
      </c>
      <c r="BJ48" s="45">
        <f t="shared" si="26"/>
        <v>4.7123889803846897</v>
      </c>
      <c r="BK48" s="45">
        <f t="shared" si="26"/>
        <v>6.2831853071795898</v>
      </c>
      <c r="BL48" s="45">
        <f t="shared" si="26"/>
        <v>3.14159265358979</v>
      </c>
      <c r="BM48" s="48">
        <f t="shared" si="26"/>
        <v>6.2831853071795898</v>
      </c>
      <c r="BN48" s="48">
        <f t="shared" si="26"/>
        <v>3.14159265358979</v>
      </c>
    </row>
    <row r="49" spans="1:66" ht="13.8" thickBot="1" x14ac:dyDescent="0.3">
      <c r="A49" s="7"/>
      <c r="B49" s="186" t="s">
        <v>13</v>
      </c>
      <c r="C49" s="194" t="s">
        <v>9</v>
      </c>
      <c r="D49" s="198">
        <f t="shared" ca="1" si="21"/>
        <v>11.6</v>
      </c>
      <c r="E49" s="112"/>
      <c r="F49" s="145"/>
      <c r="G49" s="127"/>
      <c r="H49" s="122" t="str">
        <f>"'Helicopter Data'!"&amp;$H$29&amp;15</f>
        <v>'Helicopter Data'!C15</v>
      </c>
      <c r="I49" s="83"/>
      <c r="J49" s="83"/>
      <c r="K49" s="83"/>
      <c r="L49" s="83"/>
      <c r="M49" s="83"/>
      <c r="N49" s="83"/>
      <c r="O49" s="227">
        <f ca="1">MAX(R36,D56)</f>
        <v>40</v>
      </c>
      <c r="P49" s="228"/>
      <c r="Q49" s="153"/>
      <c r="R49" s="142"/>
      <c r="S49" s="126"/>
      <c r="T49" s="58"/>
      <c r="U49" s="28"/>
      <c r="V49" s="29" t="s">
        <v>296</v>
      </c>
      <c r="W49" s="36">
        <f ca="1">$BH$34</f>
        <v>80.134435810000042</v>
      </c>
      <c r="X49" s="37">
        <f ca="1">$BH$36</f>
        <v>800803.96891599998</v>
      </c>
      <c r="Y49" s="36">
        <f ca="1">$BH$33</f>
        <v>26.059104465385403</v>
      </c>
      <c r="Z49" s="37">
        <f ca="1">$BH$35</f>
        <v>260332.776075387</v>
      </c>
      <c r="AA49" s="38">
        <f ca="1">D27+(250-O47/2)/2</f>
        <v>121.724</v>
      </c>
      <c r="AB49" s="41">
        <f ca="1">AA49*0.3048</f>
        <v>37.101475200000003</v>
      </c>
      <c r="AX49" s="48">
        <f t="shared" ref="AX49:BN49" ca="1" si="27">ROUND(((AX44*1852)/6399598.4),15)</f>
        <v>1.9215759678100001E-4</v>
      </c>
      <c r="AY49" s="48">
        <f t="shared" ca="1" si="27"/>
        <v>1.6456422630000001E-6</v>
      </c>
      <c r="AZ49" s="48">
        <f t="shared" si="27"/>
        <v>1.1906997156999999E-5</v>
      </c>
      <c r="BA49" s="48">
        <f t="shared" si="27"/>
        <v>1.1906997156999999E-5</v>
      </c>
      <c r="BB49" s="48">
        <f t="shared" ca="1" si="27"/>
        <v>1.6456422630000001E-6</v>
      </c>
      <c r="BC49" s="48">
        <f t="shared" ca="1" si="27"/>
        <v>1.6456422630000001E-6</v>
      </c>
      <c r="BD49" s="45">
        <f t="shared" ca="1" si="27"/>
        <v>1.0261354894E-5</v>
      </c>
      <c r="BE49" s="45">
        <f t="shared" ca="1" si="27"/>
        <v>1.0261354894E-5</v>
      </c>
      <c r="BF49" s="45">
        <f t="shared" ca="1" si="27"/>
        <v>3.2912845260000001E-6</v>
      </c>
      <c r="BG49" s="48">
        <f t="shared" ca="1" si="27"/>
        <v>1.0261354894E-5</v>
      </c>
      <c r="BH49" s="48">
        <f t="shared" ca="1" si="27"/>
        <v>1.0261354894E-5</v>
      </c>
      <c r="BI49" s="48">
        <f t="shared" ca="1" si="27"/>
        <v>3.2912845260000001E-6</v>
      </c>
      <c r="BJ49" s="45">
        <f t="shared" ca="1" si="27"/>
        <v>9.6901619521999998E-5</v>
      </c>
      <c r="BK49" s="45">
        <f t="shared" ca="1" si="27"/>
        <v>6.7763197100000004E-6</v>
      </c>
      <c r="BL49" s="45">
        <f t="shared" ca="1" si="27"/>
        <v>6.7763197100000004E-6</v>
      </c>
      <c r="BM49" s="48">
        <f t="shared" ca="1" si="27"/>
        <v>1.1539118573E-5</v>
      </c>
      <c r="BN49" s="48">
        <f t="shared" ca="1" si="27"/>
        <v>1.1539118573E-5</v>
      </c>
    </row>
    <row r="50" spans="1:66" ht="13.8" thickBot="1" x14ac:dyDescent="0.3">
      <c r="A50" s="7"/>
      <c r="B50" s="187"/>
      <c r="C50" s="194" t="s">
        <v>10</v>
      </c>
      <c r="D50" s="198">
        <f t="shared" ca="1" si="21"/>
        <v>7.5</v>
      </c>
      <c r="E50" s="112"/>
      <c r="F50" s="145"/>
      <c r="G50" s="127"/>
      <c r="H50" s="122" t="str">
        <f>"'Helicopter Data'!"&amp;$H$29&amp;16</f>
        <v>'Helicopter Data'!C16</v>
      </c>
      <c r="I50" s="83"/>
      <c r="J50" s="83"/>
      <c r="K50" s="83"/>
      <c r="L50" s="83"/>
      <c r="M50" s="83"/>
      <c r="N50" s="83"/>
      <c r="O50" s="178"/>
      <c r="P50" s="179"/>
      <c r="Q50" s="128"/>
      <c r="R50" s="142"/>
      <c r="S50" s="126"/>
      <c r="T50" s="58"/>
      <c r="U50" s="28"/>
      <c r="V50" s="29" t="s">
        <v>297</v>
      </c>
      <c r="W50" s="36">
        <f ca="1">$BG$34</f>
        <v>80.134225320000198</v>
      </c>
      <c r="X50" s="37">
        <f ca="1">$BG$36</f>
        <v>800803.21115200105</v>
      </c>
      <c r="Y50" s="36">
        <f ca="1">$BG$33</f>
        <v>26.059104465385403</v>
      </c>
      <c r="Z50" s="37">
        <f ca="1">$BG$35</f>
        <v>260332.776075387</v>
      </c>
      <c r="AA50" s="38">
        <f ca="1">D27+(250-O47/2)/2</f>
        <v>121.724</v>
      </c>
      <c r="AB50" s="41">
        <f ca="1">AA50*0.3048</f>
        <v>37.101475200000003</v>
      </c>
      <c r="AX50" s="48">
        <f t="shared" ref="AX50:BN50" ca="1" si="28">ROUND(((((COS(((((AX44*1852)/6399598.4)*(COS(AX48)))/2)+AX45))*(COS(((((AX44*1852)/6399598.4)*(COS(AX48)))/2)+AX45)))/148.38)+1),15)</f>
        <v>1.00543891812539</v>
      </c>
      <c r="AY50" s="48">
        <f t="shared" ca="1" si="28"/>
        <v>1.00543891812539</v>
      </c>
      <c r="AZ50" s="48">
        <f t="shared" ca="1" si="28"/>
        <v>1.0054388865056001</v>
      </c>
      <c r="BA50" s="48">
        <f t="shared" ca="1" si="28"/>
        <v>1.00543894984143</v>
      </c>
      <c r="BB50" s="48">
        <f t="shared" ca="1" si="28"/>
        <v>1.0054389225021501</v>
      </c>
      <c r="BC50" s="48">
        <f t="shared" ca="1" si="28"/>
        <v>1.0054389137486299</v>
      </c>
      <c r="BD50" s="45">
        <f t="shared" ca="1" si="28"/>
        <v>1.00543888200889</v>
      </c>
      <c r="BE50" s="45">
        <f t="shared" ca="1" si="28"/>
        <v>1.00543888200889</v>
      </c>
      <c r="BF50" s="45">
        <f t="shared" ca="1" si="28"/>
        <v>1.0054389093002201</v>
      </c>
      <c r="BG50" s="48">
        <f t="shared" ca="1" si="28"/>
        <v>1.0054389542415101</v>
      </c>
      <c r="BH50" s="48">
        <f t="shared" ca="1" si="28"/>
        <v>1.0054389542415101</v>
      </c>
      <c r="BI50" s="48">
        <f t="shared" ca="1" si="28"/>
        <v>1.0054389269505299</v>
      </c>
      <c r="BJ50" s="45">
        <f t="shared" ca="1" si="28"/>
        <v>1.00543891812539</v>
      </c>
      <c r="BK50" s="45">
        <f t="shared" ca="1" si="28"/>
        <v>1.0054389001150701</v>
      </c>
      <c r="BL50" s="45">
        <f t="shared" ca="1" si="28"/>
        <v>1.00543893615975</v>
      </c>
      <c r="BM50" s="48">
        <f t="shared" ca="1" si="28"/>
        <v>1.00543888744782</v>
      </c>
      <c r="BN50" s="48">
        <f t="shared" ca="1" si="28"/>
        <v>1.0054389488268201</v>
      </c>
    </row>
    <row r="51" spans="1:66" ht="13.8" thickBot="1" x14ac:dyDescent="0.3">
      <c r="A51" s="7"/>
      <c r="B51" s="217" t="s">
        <v>15</v>
      </c>
      <c r="C51" s="188" t="s">
        <v>14</v>
      </c>
      <c r="D51" s="198">
        <f t="shared" ca="1" si="21"/>
        <v>2</v>
      </c>
      <c r="E51" s="112"/>
      <c r="F51" s="145"/>
      <c r="G51" s="127"/>
      <c r="H51" s="122" t="str">
        <f>"'Helicopter Data'!"&amp;$H$29&amp;17</f>
        <v>'Helicopter Data'!C17</v>
      </c>
      <c r="I51" s="83"/>
      <c r="J51" s="83"/>
      <c r="K51" s="83"/>
      <c r="L51" s="83"/>
      <c r="M51" s="83"/>
      <c r="N51" s="83"/>
      <c r="O51" s="131"/>
      <c r="P51" s="132"/>
      <c r="Q51" s="128"/>
      <c r="R51" s="152"/>
      <c r="S51" s="9"/>
      <c r="T51" s="58"/>
      <c r="U51" s="30"/>
      <c r="V51" s="31" t="s">
        <v>292</v>
      </c>
      <c r="W51" s="36">
        <f ca="1">$BA$34</f>
        <v>80.122041629999757</v>
      </c>
      <c r="X51" s="37">
        <f ca="1">$BA$36</f>
        <v>800719.34986799897</v>
      </c>
      <c r="Y51" s="36">
        <f ca="1">$BA$33</f>
        <v>26.059103944026184</v>
      </c>
      <c r="Z51" s="37">
        <f ca="1">$BA$35</f>
        <v>260332.77419849401</v>
      </c>
      <c r="AA51" s="39">
        <f>$D$27+500</f>
        <v>514</v>
      </c>
      <c r="AB51" s="42">
        <f t="shared" si="6"/>
        <v>156.66720000000001</v>
      </c>
      <c r="AX51" s="48">
        <f t="shared" ref="AX51:BN51" ca="1" si="29">((AX50*AX50)*(AX49*AX49))*(SIN(AX48))*(COS(AX48))</f>
        <v>6.859721378493412E-24</v>
      </c>
      <c r="AY51" s="48">
        <f t="shared" ca="1" si="29"/>
        <v>5.0310915906202484E-28</v>
      </c>
      <c r="AZ51" s="48">
        <f t="shared" ca="1" si="29"/>
        <v>4.7406715490349494E-25</v>
      </c>
      <c r="BA51" s="48">
        <f t="shared" ca="1" si="29"/>
        <v>-4.6309660188767419E-25</v>
      </c>
      <c r="BB51" s="48">
        <f t="shared" ca="1" si="29"/>
        <v>-8.8458166896187493E-27</v>
      </c>
      <c r="BC51" s="48">
        <f t="shared" ca="1" si="29"/>
        <v>9.0553711451531294E-27</v>
      </c>
      <c r="BD51" s="45">
        <f t="shared" ca="1" si="29"/>
        <v>3.5208277572476619E-25</v>
      </c>
      <c r="BE51" s="45">
        <f t="shared" ca="1" si="29"/>
        <v>3.5208277572476619E-25</v>
      </c>
      <c r="BF51" s="45">
        <f t="shared" ca="1" si="29"/>
        <v>-3.8233920861019797E-26</v>
      </c>
      <c r="BG51" s="48">
        <f t="shared" ca="1" si="29"/>
        <v>-3.4393511176708805E-25</v>
      </c>
      <c r="BH51" s="48">
        <f t="shared" ca="1" si="29"/>
        <v>-3.4393511176708805E-25</v>
      </c>
      <c r="BI51" s="48">
        <f t="shared" ca="1" si="29"/>
        <v>-3.8233922203399816E-26</v>
      </c>
      <c r="BJ51" s="45">
        <f t="shared" ca="1" si="29"/>
        <v>1.7444295310365649E-24</v>
      </c>
      <c r="BK51" s="45">
        <f t="shared" ca="1" si="29"/>
        <v>1.5354057221705059E-25</v>
      </c>
      <c r="BL51" s="45">
        <f t="shared" ca="1" si="29"/>
        <v>-1.4998742825802385E-25</v>
      </c>
      <c r="BM51" s="48">
        <f t="shared" ca="1" si="29"/>
        <v>4.4522612499307224E-25</v>
      </c>
      <c r="BN51" s="48">
        <f t="shared" ca="1" si="29"/>
        <v>-4.3492299059469143E-25</v>
      </c>
    </row>
    <row r="52" spans="1:66" ht="13.8" thickBot="1" x14ac:dyDescent="0.3">
      <c r="A52" s="7"/>
      <c r="B52" s="218"/>
      <c r="C52" s="188" t="s">
        <v>8</v>
      </c>
      <c r="D52" s="198" t="str">
        <f t="shared" ca="1" si="21"/>
        <v>Turbine</v>
      </c>
      <c r="E52" s="112"/>
      <c r="F52" s="145"/>
      <c r="G52" s="127"/>
      <c r="H52" s="122" t="str">
        <f>"'Helicopter Data'!"&amp;$H$29&amp;18</f>
        <v>'Helicopter Data'!C18</v>
      </c>
      <c r="I52" s="83"/>
      <c r="J52" s="83"/>
      <c r="K52" s="83"/>
      <c r="L52" s="83"/>
      <c r="M52" s="83"/>
      <c r="N52" s="83"/>
      <c r="O52" s="221" t="s">
        <v>183</v>
      </c>
      <c r="P52" s="222"/>
      <c r="Q52" s="128"/>
      <c r="R52" s="142"/>
      <c r="S52" s="126"/>
      <c r="T52" s="58"/>
      <c r="U52" s="26" t="s">
        <v>446</v>
      </c>
      <c r="V52" s="27" t="s">
        <v>290</v>
      </c>
      <c r="W52" s="36">
        <f ca="1">$BC$34</f>
        <v>80.134225320000198</v>
      </c>
      <c r="X52" s="37">
        <f ca="1">$BC$36</f>
        <v>800803.21115200105</v>
      </c>
      <c r="Y52" s="36">
        <f ca="1">$BC$33</f>
        <v>26.058321611358156</v>
      </c>
      <c r="Z52" s="37">
        <f ca="1">$BB$35</f>
        <v>260330.642223106</v>
      </c>
      <c r="AA52" s="37">
        <f>$D$27</f>
        <v>14</v>
      </c>
      <c r="AB52" s="40">
        <f t="shared" si="6"/>
        <v>4.2671999999999999</v>
      </c>
      <c r="AX52" s="48">
        <f t="shared" ref="AX52:BN52" ca="1" si="30">((((AX44*1852)/6399598.4)*(COS(AX48)))/2)+AX45</f>
        <v>0.45480516874807703</v>
      </c>
      <c r="AY52" s="48">
        <f t="shared" ca="1" si="30"/>
        <v>0.45480516874807703</v>
      </c>
      <c r="AZ52" s="48">
        <f t="shared" ca="1" si="30"/>
        <v>0.45481111317094369</v>
      </c>
      <c r="BA52" s="48">
        <f t="shared" ca="1" si="30"/>
        <v>0.45479920617378633</v>
      </c>
      <c r="BB52" s="48">
        <f t="shared" ca="1" si="30"/>
        <v>0.45480434592694546</v>
      </c>
      <c r="BC52" s="48">
        <f t="shared" ca="1" si="30"/>
        <v>0.45480599156920859</v>
      </c>
      <c r="BD52" s="45">
        <f t="shared" ca="1" si="30"/>
        <v>0.4548119585355111</v>
      </c>
      <c r="BE52" s="45">
        <f t="shared" ca="1" si="30"/>
        <v>0.4548119585355111</v>
      </c>
      <c r="BF52" s="45">
        <f t="shared" ca="1" si="30"/>
        <v>0.45480682785806398</v>
      </c>
      <c r="BG52" s="48">
        <f t="shared" ca="1" si="30"/>
        <v>0.4547983789606429</v>
      </c>
      <c r="BH52" s="48">
        <f t="shared" ca="1" si="30"/>
        <v>0.4547983789606429</v>
      </c>
      <c r="BI52" s="48">
        <f t="shared" ca="1" si="30"/>
        <v>0.45480350963809002</v>
      </c>
      <c r="BJ52" s="45">
        <f t="shared" ca="1" si="30"/>
        <v>0.45480516874807703</v>
      </c>
      <c r="BK52" s="45">
        <f t="shared" ca="1" si="30"/>
        <v>0.4548085546390041</v>
      </c>
      <c r="BL52" s="45">
        <f t="shared" ca="1" si="30"/>
        <v>0.45480177831929386</v>
      </c>
      <c r="BM52" s="48">
        <f t="shared" ca="1" si="30"/>
        <v>0.45481093603843559</v>
      </c>
      <c r="BN52" s="48">
        <f t="shared" ca="1" si="30"/>
        <v>0.45479939691986238</v>
      </c>
    </row>
    <row r="53" spans="1:66" ht="13.8" thickBot="1" x14ac:dyDescent="0.3">
      <c r="A53" s="7"/>
      <c r="B53" s="91"/>
      <c r="C53" s="188" t="s">
        <v>11</v>
      </c>
      <c r="D53" s="198" t="str">
        <f t="shared" ca="1" si="21"/>
        <v>1\2</v>
      </c>
      <c r="E53" s="112"/>
      <c r="F53" s="145"/>
      <c r="G53" s="210">
        <f ca="1">O47</f>
        <v>69.103999999999999</v>
      </c>
      <c r="H53" s="122" t="str">
        <f>"'Helicopter Data'!"&amp;$H$29&amp;19</f>
        <v>'Helicopter Data'!C19</v>
      </c>
      <c r="I53" s="83"/>
      <c r="J53" s="83"/>
      <c r="K53" s="83"/>
      <c r="L53" s="83"/>
      <c r="M53" s="83"/>
      <c r="N53" s="83"/>
      <c r="O53" s="223"/>
      <c r="P53" s="222"/>
      <c r="Q53" s="155">
        <f ca="1">O49</f>
        <v>40</v>
      </c>
      <c r="R53" s="142"/>
      <c r="S53" s="126"/>
      <c r="T53" s="58"/>
      <c r="U53" s="28"/>
      <c r="V53" s="29" t="s">
        <v>298</v>
      </c>
      <c r="W53" s="36">
        <f ca="1">$BF$34</f>
        <v>80.134435805223305</v>
      </c>
      <c r="X53" s="37">
        <f ca="1">$BF$36</f>
        <v>800803.96889880404</v>
      </c>
      <c r="Y53" s="36">
        <f ca="1">$BF$33</f>
        <v>26.058321609846633</v>
      </c>
      <c r="Z53" s="37">
        <f ca="1">$BF$35</f>
        <v>260329.95779544802</v>
      </c>
      <c r="AA53" s="37">
        <f>$D$27</f>
        <v>14</v>
      </c>
      <c r="AB53" s="41">
        <f t="shared" si="6"/>
        <v>4.2671999999999999</v>
      </c>
      <c r="AX53" s="48">
        <f t="shared" ref="AX53:BN53" ca="1" si="31">((TAN((AX52-AX45)+AX52))*AX51)*(TAN(AX48))</f>
        <v>1.8252871677335706E-8</v>
      </c>
      <c r="AY53" s="48">
        <f t="shared" ca="1" si="31"/>
        <v>1.3387113577006979E-12</v>
      </c>
      <c r="AZ53" s="48">
        <f t="shared" ca="1" si="31"/>
        <v>7.6679923571250399E-40</v>
      </c>
      <c r="BA53" s="48">
        <f t="shared" ca="1" si="31"/>
        <v>7.3167609126833467E-40</v>
      </c>
      <c r="BB53" s="48">
        <f t="shared" ca="1" si="31"/>
        <v>1.397643817743961E-41</v>
      </c>
      <c r="BC53" s="48">
        <f t="shared" ca="1" si="31"/>
        <v>1.4646598512992322E-41</v>
      </c>
      <c r="BD53" s="45">
        <f t="shared" ca="1" si="31"/>
        <v>5.6949066385000303E-40</v>
      </c>
      <c r="BE53" s="45">
        <f t="shared" ca="1" si="31"/>
        <v>5.6949066385000303E-40</v>
      </c>
      <c r="BF53" s="45">
        <f t="shared" ca="1" si="31"/>
        <v>5.3548678496179146E-12</v>
      </c>
      <c r="BG53" s="48">
        <f t="shared" ca="1" si="31"/>
        <v>5.4340518673891973E-40</v>
      </c>
      <c r="BH53" s="48">
        <f t="shared" ca="1" si="31"/>
        <v>5.4340518673891973E-40</v>
      </c>
      <c r="BI53" s="48">
        <f t="shared" ca="1" si="31"/>
        <v>5.3548230120230897E-12</v>
      </c>
      <c r="BJ53" s="45">
        <f t="shared" ca="1" si="31"/>
        <v>4.6417116123685002E-9</v>
      </c>
      <c r="BK53" s="45">
        <f t="shared" ca="1" si="31"/>
        <v>2.4834723009816628E-40</v>
      </c>
      <c r="BL53" s="45">
        <f t="shared" ca="1" si="31"/>
        <v>2.3697786487530549E-40</v>
      </c>
      <c r="BM53" s="48">
        <f t="shared" ca="1" si="31"/>
        <v>7.2014847785351317E-40</v>
      </c>
      <c r="BN53" s="48">
        <f t="shared" ca="1" si="31"/>
        <v>6.8716344410128052E-40</v>
      </c>
    </row>
    <row r="54" spans="1:66" ht="13.8" thickBot="1" x14ac:dyDescent="0.3">
      <c r="A54" s="7"/>
      <c r="B54" s="91"/>
      <c r="C54" s="188" t="s">
        <v>12</v>
      </c>
      <c r="D54" s="198" t="str">
        <f t="shared" ca="1" si="21"/>
        <v>6\7</v>
      </c>
      <c r="E54" s="112"/>
      <c r="F54" s="145"/>
      <c r="G54" s="127"/>
      <c r="H54" s="122" t="str">
        <f>"'Helicopter Data'!"&amp;$H$29&amp;20</f>
        <v>'Helicopter Data'!C20</v>
      </c>
      <c r="I54" s="83"/>
      <c r="J54" s="83"/>
      <c r="K54" s="83"/>
      <c r="L54" s="83"/>
      <c r="M54" s="83"/>
      <c r="N54" s="83"/>
      <c r="O54" s="131"/>
      <c r="P54" s="132"/>
      <c r="Q54" s="128"/>
      <c r="R54" s="200">
        <f ca="1">MAX(D60,R41)</f>
        <v>93.072000000000003</v>
      </c>
      <c r="S54" s="9"/>
      <c r="T54" s="58"/>
      <c r="U54" s="28"/>
      <c r="V54" s="29" t="s">
        <v>299</v>
      </c>
      <c r="W54" s="36">
        <f ca="1">$BE$34</f>
        <v>80.134435810000042</v>
      </c>
      <c r="X54" s="37">
        <f ca="1">$BE$36</f>
        <v>800803.96891599998</v>
      </c>
      <c r="Y54" s="36">
        <f ca="1">$BE$33</f>
        <v>26.057728874550751</v>
      </c>
      <c r="Z54" s="37">
        <f ca="1">$BE$35</f>
        <v>260327.82394838301</v>
      </c>
      <c r="AA54" s="38">
        <f ca="1">D27+(250-O47/2)/2</f>
        <v>121.724</v>
      </c>
      <c r="AB54" s="41">
        <f ca="1">AA54*0.3048</f>
        <v>37.101475200000003</v>
      </c>
      <c r="AX54" s="48">
        <f t="shared" ref="AX54:BN54" ca="1" si="32">ROUND((((((COS(AX48-(AX51/3)))*AX49)*(SQRT(AX50))*((AX50)))-(AX53/2))+AX45),15)</f>
        <v>0.45480515962164098</v>
      </c>
      <c r="AY54" s="48">
        <f t="shared" ca="1" si="32"/>
        <v>0.45480516874740801</v>
      </c>
      <c r="AZ54" s="48">
        <f t="shared" ca="1" si="32"/>
        <v>0.454817163942697</v>
      </c>
      <c r="BA54" s="48">
        <f t="shared" ca="1" si="32"/>
        <v>0.45479315540089899</v>
      </c>
      <c r="BB54" s="48">
        <f t="shared" ca="1" si="32"/>
        <v>0.454803509661794</v>
      </c>
      <c r="BC54" s="48">
        <f t="shared" ca="1" si="32"/>
        <v>0.45480682783433801</v>
      </c>
      <c r="BD54" s="45">
        <f t="shared" ca="1" si="32"/>
        <v>0.45481717304213198</v>
      </c>
      <c r="BE54" s="45">
        <f t="shared" ca="1" si="32"/>
        <v>0.45481717304213198</v>
      </c>
      <c r="BF54" s="45">
        <f t="shared" ca="1" si="32"/>
        <v>0.45480682785538701</v>
      </c>
      <c r="BG54" s="48">
        <f t="shared" ca="1" si="32"/>
        <v>0.45479316445290702</v>
      </c>
      <c r="BH54" s="48">
        <f t="shared" ca="1" si="32"/>
        <v>0.45479316445290702</v>
      </c>
      <c r="BI54" s="48">
        <f t="shared" ca="1" si="32"/>
        <v>0.45480350963541299</v>
      </c>
      <c r="BJ54" s="45">
        <f t="shared" ca="1" si="32"/>
        <v>0.45480516642722102</v>
      </c>
      <c r="BK54" s="45">
        <f t="shared" ca="1" si="32"/>
        <v>0.45481199815755102</v>
      </c>
      <c r="BL54" s="45">
        <f t="shared" ca="1" si="32"/>
        <v>0.45479833480038001</v>
      </c>
      <c r="BM54" s="48">
        <f t="shared" ca="1" si="32"/>
        <v>0.45481679986556101</v>
      </c>
      <c r="BN54" s="48">
        <f t="shared" ca="1" si="32"/>
        <v>0.45479353309167198</v>
      </c>
    </row>
    <row r="55" spans="1:66" ht="13.8" thickBot="1" x14ac:dyDescent="0.3">
      <c r="A55" s="7"/>
      <c r="B55" s="91"/>
      <c r="C55" s="8"/>
      <c r="D55" s="14"/>
      <c r="E55" s="112"/>
      <c r="F55" s="145"/>
      <c r="G55" s="127"/>
      <c r="H55" s="83"/>
      <c r="I55" s="83"/>
      <c r="J55" s="83"/>
      <c r="K55" s="83"/>
      <c r="L55" s="83"/>
      <c r="M55" s="83"/>
      <c r="N55" s="83"/>
      <c r="O55" s="131"/>
      <c r="P55" s="132"/>
      <c r="Q55" s="128"/>
      <c r="R55" s="142"/>
      <c r="S55" s="126"/>
      <c r="T55" s="58"/>
      <c r="U55" s="28"/>
      <c r="V55" s="29" t="s">
        <v>300</v>
      </c>
      <c r="W55" s="36">
        <f ca="1">$BD$34</f>
        <v>80.134225320000198</v>
      </c>
      <c r="X55" s="37">
        <f ca="1">$BD$36</f>
        <v>800803.21115200105</v>
      </c>
      <c r="Y55" s="36">
        <f ca="1">$BD$33</f>
        <v>26.057728874550751</v>
      </c>
      <c r="Z55" s="37">
        <f ca="1">$BD$35</f>
        <v>260327.82394838301</v>
      </c>
      <c r="AA55" s="38">
        <f ca="1">D27+(250-O47/2)/2</f>
        <v>121.724</v>
      </c>
      <c r="AB55" s="41">
        <f ca="1">AA55*0.3048</f>
        <v>37.101475200000003</v>
      </c>
      <c r="AX55" s="48">
        <f t="shared" ref="AX55:BN55" ca="1" si="33">ROUND(((AX46-((((SQRT((((COS(AX54))*(COS(AX54)))/148.38)+1))*AX49)*(SIN(AX48-(AX51/6))))/(COS((AX53/6)+AX54))))),15)</f>
        <v>1.3988223944540199</v>
      </c>
      <c r="AY55" s="48">
        <f t="shared" ca="1" si="33"/>
        <v>1.3986097489850799</v>
      </c>
      <c r="AZ55" s="48">
        <f t="shared" ca="1" si="33"/>
        <v>1.39882239444356</v>
      </c>
      <c r="BA55" s="48">
        <f t="shared" ca="1" si="33"/>
        <v>1.39882239444356</v>
      </c>
      <c r="BB55" s="48">
        <f t="shared" ca="1" si="33"/>
        <v>1.39860974893802</v>
      </c>
      <c r="BC55" s="48">
        <f t="shared" ca="1" si="33"/>
        <v>1.39860974893802</v>
      </c>
      <c r="BD55" s="45">
        <f t="shared" ca="1" si="33"/>
        <v>1.39860974893802</v>
      </c>
      <c r="BE55" s="45">
        <f t="shared" ca="1" si="33"/>
        <v>1.39860607519447</v>
      </c>
      <c r="BF55" s="45">
        <f t="shared" ca="1" si="33"/>
        <v>1.39860607527192</v>
      </c>
      <c r="BG55" s="48">
        <f t="shared" ca="1" si="33"/>
        <v>1.39860974893802</v>
      </c>
      <c r="BH55" s="48">
        <f t="shared" ca="1" si="33"/>
        <v>1.39860607519447</v>
      </c>
      <c r="BI55" s="48">
        <f t="shared" ca="1" si="33"/>
        <v>1.39860607527785</v>
      </c>
      <c r="BJ55" s="45">
        <f t="shared" ca="1" si="33"/>
        <v>1.39871607171978</v>
      </c>
      <c r="BK55" s="45">
        <f t="shared" ca="1" si="33"/>
        <v>1.39871607177805</v>
      </c>
      <c r="BL55" s="45">
        <f t="shared" ca="1" si="33"/>
        <v>1.39871607177805</v>
      </c>
      <c r="BM55" s="48">
        <f t="shared" ca="1" si="33"/>
        <v>1.39871607177805</v>
      </c>
      <c r="BN55" s="48">
        <f t="shared" ca="1" si="33"/>
        <v>1.39871607177805</v>
      </c>
    </row>
    <row r="56" spans="1:66" ht="13.8" thickBot="1" x14ac:dyDescent="0.3">
      <c r="A56" s="7"/>
      <c r="B56" s="224" t="s">
        <v>170</v>
      </c>
      <c r="C56" s="225"/>
      <c r="D56" s="120">
        <f ca="1">IF(D9="Transport",J25,IF(D9="Hospital",J22,J18))</f>
        <v>40</v>
      </c>
      <c r="E56" s="158"/>
      <c r="F56" s="145"/>
      <c r="G56" s="127"/>
      <c r="H56" s="83"/>
      <c r="I56" s="83"/>
      <c r="J56" s="83"/>
      <c r="K56" s="83"/>
      <c r="L56" s="83"/>
      <c r="M56" s="83"/>
      <c r="N56" s="83"/>
      <c r="O56" s="133"/>
      <c r="P56" s="134"/>
      <c r="Q56" s="128"/>
      <c r="R56" s="142"/>
      <c r="S56" s="126"/>
      <c r="T56" s="58"/>
      <c r="U56" s="30"/>
      <c r="V56" s="31" t="s">
        <v>293</v>
      </c>
      <c r="W56" s="36">
        <f ca="1">$AZ$34</f>
        <v>80.122041629999757</v>
      </c>
      <c r="X56" s="37">
        <f ca="1">$AZ$36</f>
        <v>800719.34986799897</v>
      </c>
      <c r="Y56" s="36">
        <f ca="1">$AZ$33</f>
        <v>26.057728355908893</v>
      </c>
      <c r="Z56" s="37">
        <f ca="1">$AZ$35</f>
        <v>260327.822081272</v>
      </c>
      <c r="AA56" s="39">
        <f>$D$27+500</f>
        <v>514</v>
      </c>
      <c r="AB56" s="42">
        <f t="shared" ref="AB56:AB87" si="34">AA56*0.3048</f>
        <v>156.66720000000001</v>
      </c>
      <c r="AX56" s="48">
        <f t="shared" ref="AX56:BN56" ca="1" si="35">ROUND((((((((((SQRT((((COS(AX54))*(COS(AX54)))/148.38)+1))*AX49)*(SIN(AX48-(AX51/6))))/(COS((AX53/6)+AX53)))*(SIN((AX53/3)+AX53)))-(AX51/2))-PI())+AX48)+(PI()+PI())),15)</f>
        <v>7.8539816339697897</v>
      </c>
      <c r="AY56" s="48">
        <f t="shared" ca="1" si="35"/>
        <v>7.8539816339744801</v>
      </c>
      <c r="AZ56" s="48">
        <f t="shared" ca="1" si="35"/>
        <v>9.4247779607693793</v>
      </c>
      <c r="BA56" s="48">
        <f t="shared" ca="1" si="35"/>
        <v>6.28318530717958</v>
      </c>
      <c r="BB56" s="48">
        <f t="shared" ca="1" si="35"/>
        <v>6.28318530717958</v>
      </c>
      <c r="BC56" s="48">
        <f t="shared" ca="1" si="35"/>
        <v>9.4247779607693793</v>
      </c>
      <c r="BD56" s="45">
        <f t="shared" ca="1" si="35"/>
        <v>9.4247779607693793</v>
      </c>
      <c r="BE56" s="45">
        <f t="shared" ca="1" si="35"/>
        <v>9.4247779607693793</v>
      </c>
      <c r="BF56" s="45">
        <f t="shared" ca="1" si="35"/>
        <v>4.7123889803846897</v>
      </c>
      <c r="BG56" s="48">
        <f t="shared" ca="1" si="35"/>
        <v>6.28318530717958</v>
      </c>
      <c r="BH56" s="48">
        <f t="shared" ca="1" si="35"/>
        <v>6.28318530717958</v>
      </c>
      <c r="BI56" s="48">
        <f t="shared" ca="1" si="35"/>
        <v>4.7123889803846897</v>
      </c>
      <c r="BJ56" s="45">
        <f t="shared" ca="1" si="35"/>
        <v>7.8539816339738797</v>
      </c>
      <c r="BK56" s="45">
        <f t="shared" ca="1" si="35"/>
        <v>9.4247779607693793</v>
      </c>
      <c r="BL56" s="45">
        <f t="shared" ca="1" si="35"/>
        <v>6.28318530717958</v>
      </c>
      <c r="BM56" s="48">
        <f t="shared" ca="1" si="35"/>
        <v>9.4247779607693793</v>
      </c>
      <c r="BN56" s="48">
        <f t="shared" ca="1" si="35"/>
        <v>6.28318530717958</v>
      </c>
    </row>
    <row r="57" spans="1:66" ht="13.8" thickBot="1" x14ac:dyDescent="0.3">
      <c r="A57" s="7"/>
      <c r="B57" s="224" t="s">
        <v>172</v>
      </c>
      <c r="C57" s="225"/>
      <c r="D57" s="120">
        <f ca="1">(0.34*J28)</f>
        <v>14.552</v>
      </c>
      <c r="E57" s="158"/>
      <c r="F57" s="145"/>
      <c r="G57" s="127"/>
      <c r="H57" s="83"/>
      <c r="I57" s="83"/>
      <c r="J57" s="83"/>
      <c r="K57" s="83"/>
      <c r="L57" s="83"/>
      <c r="M57" s="83"/>
      <c r="N57" s="83"/>
      <c r="O57" s="137"/>
      <c r="P57" s="137"/>
      <c r="Q57" s="128"/>
      <c r="R57" s="152"/>
      <c r="S57" s="9"/>
      <c r="T57" s="58"/>
      <c r="U57" s="26" t="s">
        <v>301</v>
      </c>
      <c r="V57" s="27" t="s">
        <v>286</v>
      </c>
      <c r="W57" s="36">
        <f ca="1">$BB$34</f>
        <v>80.134225320000198</v>
      </c>
      <c r="X57" s="37">
        <f ca="1">$BB$36</f>
        <v>800803.21115200105</v>
      </c>
      <c r="Y57" s="36">
        <f ca="1">$BB$33</f>
        <v>26.058511728640624</v>
      </c>
      <c r="Z57" s="37">
        <f ca="1">$BB$35</f>
        <v>260330.642223106</v>
      </c>
      <c r="AA57" s="37">
        <f>$D$27</f>
        <v>14</v>
      </c>
      <c r="AB57" s="40">
        <f t="shared" si="34"/>
        <v>4.2671999999999999</v>
      </c>
      <c r="AX57" s="48">
        <f t="shared" ref="AX57:BN57" ca="1" si="36">(AX54*(180/PI()))</f>
        <v>26.058416147093752</v>
      </c>
      <c r="AY57" s="48">
        <f t="shared" ca="1" si="36"/>
        <v>26.058416669961687</v>
      </c>
      <c r="AZ57" s="48">
        <f t="shared" ca="1" si="36"/>
        <v>26.059103944026184</v>
      </c>
      <c r="BA57" s="48">
        <f t="shared" ca="1" si="36"/>
        <v>26.057728355908893</v>
      </c>
      <c r="BB57" s="48">
        <f t="shared" ca="1" si="36"/>
        <v>26.058321611358156</v>
      </c>
      <c r="BC57" s="48">
        <f t="shared" ca="1" si="36"/>
        <v>26.058511728640624</v>
      </c>
      <c r="BD57" s="45">
        <f t="shared" ca="1" si="36"/>
        <v>26.059104465385403</v>
      </c>
      <c r="BE57" s="45">
        <f t="shared" ca="1" si="36"/>
        <v>26.059104465385403</v>
      </c>
      <c r="BF57" s="45">
        <f t="shared" ca="1" si="36"/>
        <v>26.058511729846643</v>
      </c>
      <c r="BG57" s="48">
        <f t="shared" ca="1" si="36"/>
        <v>26.057728874550751</v>
      </c>
      <c r="BH57" s="48">
        <f t="shared" ca="1" si="36"/>
        <v>26.057728874550751</v>
      </c>
      <c r="BI57" s="48">
        <f t="shared" ca="1" si="36"/>
        <v>26.058321609846633</v>
      </c>
      <c r="BJ57" s="45">
        <f t="shared" ca="1" si="36"/>
        <v>26.058416537024765</v>
      </c>
      <c r="BK57" s="45">
        <f t="shared" ca="1" si="36"/>
        <v>26.058807966339447</v>
      </c>
      <c r="BL57" s="45">
        <f t="shared" ca="1" si="36"/>
        <v>26.05802511363957</v>
      </c>
      <c r="BM57" s="48">
        <f t="shared" ca="1" si="36"/>
        <v>26.059083083942873</v>
      </c>
      <c r="BN57" s="48">
        <f t="shared" ca="1" si="36"/>
        <v>26.057749995996147</v>
      </c>
    </row>
    <row r="58" spans="1:66" ht="13.8" thickBot="1" x14ac:dyDescent="0.3">
      <c r="A58" s="7"/>
      <c r="B58" s="224" t="s">
        <v>171</v>
      </c>
      <c r="C58" s="225"/>
      <c r="D58" s="120">
        <f ca="1">IF(D9="Transport",K25,IF(D9="Hospital",K22,K18))</f>
        <v>69.103999999999999</v>
      </c>
      <c r="E58" s="158"/>
      <c r="F58" s="145"/>
      <c r="G58" s="127"/>
      <c r="H58" s="83"/>
      <c r="I58" s="83"/>
      <c r="J58" s="83"/>
      <c r="K58" s="83"/>
      <c r="L58" s="83"/>
      <c r="M58" s="83"/>
      <c r="N58" s="83"/>
      <c r="O58" s="137"/>
      <c r="P58" s="137"/>
      <c r="Q58" s="128"/>
      <c r="R58" s="142"/>
      <c r="S58" s="126"/>
      <c r="T58" s="58"/>
      <c r="U58" s="28"/>
      <c r="V58" s="29" t="s">
        <v>302</v>
      </c>
      <c r="W58" s="36">
        <f ca="1">$BL$34</f>
        <v>80.128133470000051</v>
      </c>
      <c r="X58" s="37">
        <f ca="1">$BL$36</f>
        <v>800741.28049199993</v>
      </c>
      <c r="Y58" s="36">
        <f ca="1">$BL$33</f>
        <v>26.058807966339447</v>
      </c>
      <c r="Z58" s="37">
        <f ca="1">$BL$35</f>
        <v>260331.70867882197</v>
      </c>
      <c r="AA58" s="38">
        <f>D27+250</f>
        <v>264</v>
      </c>
      <c r="AB58" s="41">
        <f t="shared" si="34"/>
        <v>80.467200000000005</v>
      </c>
      <c r="AX58" s="48">
        <f t="shared" ref="AX58:BN58" ca="1" si="37">(AX55*(180/PI()))</f>
        <v>80.146619490599392</v>
      </c>
      <c r="AY58" s="48">
        <f t="shared" ca="1" si="37"/>
        <v>80.134435802696558</v>
      </c>
      <c r="AZ58" s="48">
        <f t="shared" ca="1" si="37"/>
        <v>80.146619490000091</v>
      </c>
      <c r="BA58" s="48">
        <f t="shared" ca="1" si="37"/>
        <v>80.146619490000091</v>
      </c>
      <c r="BB58" s="48">
        <f t="shared" ca="1" si="37"/>
        <v>80.134435800000219</v>
      </c>
      <c r="BC58" s="48">
        <f t="shared" ca="1" si="37"/>
        <v>80.134435800000219</v>
      </c>
      <c r="BD58" s="45">
        <f t="shared" ca="1" si="37"/>
        <v>80.134435800000219</v>
      </c>
      <c r="BE58" s="45">
        <f t="shared" ca="1" si="37"/>
        <v>80.134225309999792</v>
      </c>
      <c r="BF58" s="45">
        <f t="shared" ca="1" si="37"/>
        <v>80.134225314437344</v>
      </c>
      <c r="BG58" s="48">
        <f t="shared" ca="1" si="37"/>
        <v>80.134435800000219</v>
      </c>
      <c r="BH58" s="48">
        <f t="shared" ca="1" si="37"/>
        <v>80.134225309999792</v>
      </c>
      <c r="BI58" s="48">
        <f t="shared" ca="1" si="37"/>
        <v>80.134225314777112</v>
      </c>
      <c r="BJ58" s="45">
        <f t="shared" ca="1" si="37"/>
        <v>80.140527646661155</v>
      </c>
      <c r="BK58" s="45">
        <f t="shared" ca="1" si="37"/>
        <v>80.140527649999783</v>
      </c>
      <c r="BL58" s="45">
        <f t="shared" ca="1" si="37"/>
        <v>80.140527649999783</v>
      </c>
      <c r="BM58" s="48">
        <f t="shared" ca="1" si="37"/>
        <v>80.140527649999783</v>
      </c>
      <c r="BN58" s="48">
        <f t="shared" ca="1" si="37"/>
        <v>80.140527649999783</v>
      </c>
    </row>
    <row r="59" spans="1:66" ht="13.8" thickBot="1" x14ac:dyDescent="0.3">
      <c r="A59" s="7"/>
      <c r="B59" s="224" t="s">
        <v>174</v>
      </c>
      <c r="C59" s="225"/>
      <c r="D59" s="120">
        <f ca="1">IF(D9="Transport",I25,IF(OR(D9="Hospital",D11="Yes"),I22,IF(D9="General Aviation",I18,"B3 Error")))</f>
        <v>11.984</v>
      </c>
      <c r="E59" s="158"/>
      <c r="F59" s="145"/>
      <c r="G59" s="129"/>
      <c r="H59" s="125"/>
      <c r="I59" s="125"/>
      <c r="J59" s="125"/>
      <c r="K59" s="125"/>
      <c r="L59" s="125"/>
      <c r="M59" s="125"/>
      <c r="N59" s="125"/>
      <c r="O59" s="180"/>
      <c r="P59" s="181"/>
      <c r="Q59" s="130"/>
      <c r="R59" s="152"/>
      <c r="S59" s="9"/>
      <c r="T59" s="58"/>
      <c r="U59" s="30"/>
      <c r="V59" s="31" t="s">
        <v>301</v>
      </c>
      <c r="W59" s="36">
        <f ca="1">$BN$34</f>
        <v>80.128133470000051</v>
      </c>
      <c r="X59" s="37">
        <f ca="1">$BN$36</f>
        <v>800741.28049199993</v>
      </c>
      <c r="Y59" s="36">
        <f ca="1">$BN$33</f>
        <v>26.059083083942873</v>
      </c>
      <c r="Z59" s="37">
        <f ca="1">$BN$35</f>
        <v>260332.69910219399</v>
      </c>
      <c r="AA59" s="39">
        <f>D27+250</f>
        <v>264</v>
      </c>
      <c r="AB59" s="42">
        <f t="shared" si="34"/>
        <v>80.467200000000005</v>
      </c>
      <c r="AX59" s="49">
        <f t="shared" ref="AX59:BN59" ca="1" si="38">(ROUND((((((AX57-(TRUNC(AX57)))*0.6)*100)-(TRUNC(((AX57-(TRUNC(AX57)))*0.6)*100)))*0.006)+(TRUNC(AX57)+((TRUNC(((AX57-(TRUNC(AX57)))*0.6)*100))/100)),15))*10000</f>
        <v>260330.29812953799</v>
      </c>
      <c r="AY59" s="49">
        <f t="shared" ca="1" si="38"/>
        <v>260330.30001186201</v>
      </c>
      <c r="AZ59" s="49">
        <f t="shared" ca="1" si="38"/>
        <v>260332.77419849401</v>
      </c>
      <c r="BA59" s="49">
        <f t="shared" ca="1" si="38"/>
        <v>260327.822081272</v>
      </c>
      <c r="BB59" s="49">
        <f t="shared" ca="1" si="38"/>
        <v>260329.95780088901</v>
      </c>
      <c r="BC59" s="49">
        <f t="shared" ca="1" si="38"/>
        <v>260330.642223106</v>
      </c>
      <c r="BD59" s="46">
        <f t="shared" ca="1" si="38"/>
        <v>260332.776075387</v>
      </c>
      <c r="BE59" s="46">
        <f t="shared" ca="1" si="38"/>
        <v>260332.776075387</v>
      </c>
      <c r="BF59" s="46">
        <f t="shared" ca="1" si="38"/>
        <v>260330.64222744803</v>
      </c>
      <c r="BG59" s="49">
        <f t="shared" ca="1" si="38"/>
        <v>260327.82394838301</v>
      </c>
      <c r="BH59" s="49">
        <f t="shared" ca="1" si="38"/>
        <v>260327.82394838301</v>
      </c>
      <c r="BI59" s="49">
        <f t="shared" ca="1" si="38"/>
        <v>260329.95779544802</v>
      </c>
      <c r="BJ59" s="46">
        <f t="shared" ca="1" si="38"/>
        <v>260330.29953328898</v>
      </c>
      <c r="BK59" s="46">
        <f t="shared" ca="1" si="38"/>
        <v>260331.70867882197</v>
      </c>
      <c r="BL59" s="46">
        <f t="shared" ca="1" si="38"/>
        <v>260328.89040910199</v>
      </c>
      <c r="BM59" s="49">
        <f t="shared" ca="1" si="38"/>
        <v>260332.69910219399</v>
      </c>
      <c r="BN59" s="49">
        <f t="shared" ca="1" si="38"/>
        <v>260327.89998558597</v>
      </c>
    </row>
    <row r="60" spans="1:66" ht="13.8" thickBot="1" x14ac:dyDescent="0.3">
      <c r="A60" s="7"/>
      <c r="B60" s="224" t="s">
        <v>173</v>
      </c>
      <c r="C60" s="225"/>
      <c r="D60" s="120">
        <f ca="1">D58+D59*2</f>
        <v>93.072000000000003</v>
      </c>
      <c r="E60" s="159"/>
      <c r="F60" s="146"/>
      <c r="G60" s="142"/>
      <c r="H60" s="142"/>
      <c r="I60" s="142"/>
      <c r="J60" s="142"/>
      <c r="K60" s="142"/>
      <c r="L60" s="142"/>
      <c r="M60" s="142"/>
      <c r="N60" s="142"/>
      <c r="O60" s="230"/>
      <c r="P60" s="231"/>
      <c r="Q60" s="142"/>
      <c r="R60" s="144"/>
      <c r="S60" s="9"/>
      <c r="T60" s="58"/>
      <c r="U60" s="26" t="s">
        <v>303</v>
      </c>
      <c r="V60" s="27" t="s">
        <v>290</v>
      </c>
      <c r="W60" s="36">
        <f ca="1">$BC$34</f>
        <v>80.134225320000198</v>
      </c>
      <c r="X60" s="37">
        <f ca="1">$BC$36</f>
        <v>800803.21115200105</v>
      </c>
      <c r="Y60" s="36">
        <f ca="1">$BC$33</f>
        <v>26.058321611358156</v>
      </c>
      <c r="Z60" s="37">
        <f ca="1">$BC$35</f>
        <v>260329.95780088901</v>
      </c>
      <c r="AA60" s="37">
        <f>$D$27</f>
        <v>14</v>
      </c>
      <c r="AB60" s="40">
        <f t="shared" si="34"/>
        <v>4.2671999999999999</v>
      </c>
      <c r="AX60" s="49">
        <f t="shared" ref="AX60:BN60" ca="1" si="39">(ROUND((((((AX58-(TRUNC(AX58)))*0.6)*100)-(TRUNC(((AX58-(TRUNC(AX58)))*0.6)*100)))*0.006)+(TRUNC(AX58)+((TRUNC(((AX58-(TRUNC(AX58)))*0.6)*100))/100)),15))*10000</f>
        <v>800847.83016615803</v>
      </c>
      <c r="AY60" s="49">
        <f t="shared" ca="1" si="39"/>
        <v>800803.96888970793</v>
      </c>
      <c r="AZ60" s="49">
        <f t="shared" ca="1" si="39"/>
        <v>800847.83016399993</v>
      </c>
      <c r="BA60" s="49">
        <f t="shared" ca="1" si="39"/>
        <v>800847.83016399993</v>
      </c>
      <c r="BB60" s="49">
        <f t="shared" ca="1" si="39"/>
        <v>800803.96888000099</v>
      </c>
      <c r="BC60" s="49">
        <f t="shared" ca="1" si="39"/>
        <v>800803.96888000099</v>
      </c>
      <c r="BD60" s="46">
        <f t="shared" ca="1" si="39"/>
        <v>800803.96888000099</v>
      </c>
      <c r="BE60" s="46">
        <f t="shared" ca="1" si="39"/>
        <v>800803.21111599903</v>
      </c>
      <c r="BF60" s="46">
        <f t="shared" ca="1" si="39"/>
        <v>800803.21113197401</v>
      </c>
      <c r="BG60" s="49">
        <f t="shared" ca="1" si="39"/>
        <v>800803.96888000099</v>
      </c>
      <c r="BH60" s="49">
        <f t="shared" ca="1" si="39"/>
        <v>800803.21111599903</v>
      </c>
      <c r="BI60" s="49">
        <f t="shared" ca="1" si="39"/>
        <v>800803.211133198</v>
      </c>
      <c r="BJ60" s="46">
        <f t="shared" ca="1" si="39"/>
        <v>800825.89952798001</v>
      </c>
      <c r="BK60" s="46">
        <f t="shared" ca="1" si="39"/>
        <v>800825.89953999897</v>
      </c>
      <c r="BL60" s="46">
        <f t="shared" ca="1" si="39"/>
        <v>800825.89953999897</v>
      </c>
      <c r="BM60" s="49">
        <f t="shared" ca="1" si="39"/>
        <v>800825.89953999897</v>
      </c>
      <c r="BN60" s="49">
        <f t="shared" ca="1" si="39"/>
        <v>800825.89953999897</v>
      </c>
    </row>
    <row r="61" spans="1:66" ht="13.8" thickBot="1" x14ac:dyDescent="0.3">
      <c r="A61" s="7"/>
      <c r="B61" s="224" t="s">
        <v>175</v>
      </c>
      <c r="C61" s="225"/>
      <c r="D61" s="102">
        <f ca="1">D60*D60</f>
        <v>8662.3971840000013</v>
      </c>
      <c r="E61" s="112"/>
      <c r="F61" s="138"/>
      <c r="G61" s="139"/>
      <c r="H61" s="140"/>
      <c r="I61" s="140"/>
      <c r="J61" s="140"/>
      <c r="K61" s="140"/>
      <c r="L61" s="140"/>
      <c r="M61" s="140"/>
      <c r="N61" s="140"/>
      <c r="O61" s="214" t="s">
        <v>906</v>
      </c>
      <c r="P61" s="215"/>
      <c r="Q61" s="139"/>
      <c r="R61" s="141"/>
      <c r="S61" s="9"/>
      <c r="U61" s="28"/>
      <c r="V61" s="29" t="s">
        <v>305</v>
      </c>
      <c r="W61" s="36">
        <f ca="1">$BK$34</f>
        <v>80.128133470000051</v>
      </c>
      <c r="X61" s="37">
        <f ca="1">$BK$36</f>
        <v>800741.28049199993</v>
      </c>
      <c r="Y61" s="36">
        <f ca="1">$BK$33</f>
        <v>26.05802511363957</v>
      </c>
      <c r="Z61" s="37">
        <f ca="1">$BK$35</f>
        <v>260328.89040910199</v>
      </c>
      <c r="AA61" s="38">
        <f>D27+250</f>
        <v>264</v>
      </c>
      <c r="AB61" s="41">
        <f t="shared" si="34"/>
        <v>80.467200000000005</v>
      </c>
    </row>
    <row r="62" spans="1:66" ht="14.4" thickTop="1" thickBot="1" x14ac:dyDescent="0.3">
      <c r="A62" s="7"/>
      <c r="B62" s="91"/>
      <c r="C62" s="8"/>
      <c r="D62" s="8"/>
      <c r="E62" s="8"/>
      <c r="F62" s="156"/>
      <c r="G62" s="8"/>
      <c r="H62" s="142"/>
      <c r="I62" s="142"/>
      <c r="J62" s="142"/>
      <c r="K62" s="142"/>
      <c r="L62" s="142"/>
      <c r="M62" s="142"/>
      <c r="N62" s="142"/>
      <c r="O62" s="213">
        <f ca="1">R54</f>
        <v>93.072000000000003</v>
      </c>
      <c r="P62" s="213"/>
      <c r="Q62" s="8"/>
      <c r="R62" s="157"/>
      <c r="S62" s="9"/>
      <c r="T62" s="59"/>
      <c r="U62" s="30"/>
      <c r="V62" s="31" t="s">
        <v>303</v>
      </c>
      <c r="W62" s="36">
        <f ca="1">$BM$34</f>
        <v>80.128133470000051</v>
      </c>
      <c r="X62" s="37">
        <f ca="1">$BM$36</f>
        <v>800741.28049199993</v>
      </c>
      <c r="Y62" s="36">
        <f ca="1">$BM$33</f>
        <v>26.057749995996147</v>
      </c>
      <c r="Z62" s="37">
        <f ca="1">$BM$35</f>
        <v>260327.89998558597</v>
      </c>
      <c r="AA62" s="39">
        <f>D27+250</f>
        <v>264</v>
      </c>
      <c r="AB62" s="42">
        <f t="shared" si="34"/>
        <v>80.467200000000005</v>
      </c>
      <c r="AX62" s="47" t="s">
        <v>444</v>
      </c>
      <c r="AY62" s="47" t="s">
        <v>263</v>
      </c>
      <c r="AZ62" s="47" t="s">
        <v>272</v>
      </c>
      <c r="BA62" s="47" t="s">
        <v>273</v>
      </c>
      <c r="BB62" s="47" t="s">
        <v>271</v>
      </c>
      <c r="BC62" s="47" t="s">
        <v>270</v>
      </c>
      <c r="BD62" s="44" t="s">
        <v>274</v>
      </c>
      <c r="BE62" s="44" t="s">
        <v>275</v>
      </c>
      <c r="BF62" s="44" t="s">
        <v>276</v>
      </c>
      <c r="BG62" s="47" t="s">
        <v>277</v>
      </c>
      <c r="BH62" s="47" t="s">
        <v>278</v>
      </c>
      <c r="BI62" s="47" t="s">
        <v>279</v>
      </c>
      <c r="BJ62" s="44" t="s">
        <v>280</v>
      </c>
      <c r="BK62" s="44" t="s">
        <v>281</v>
      </c>
      <c r="BL62" s="44" t="s">
        <v>282</v>
      </c>
      <c r="BM62" s="47" t="s">
        <v>283</v>
      </c>
      <c r="BN62" s="47" t="s">
        <v>439</v>
      </c>
    </row>
    <row r="63" spans="1:66" ht="13.8" thickBot="1" x14ac:dyDescent="0.3">
      <c r="A63" s="7"/>
      <c r="B63" s="91"/>
      <c r="C63" s="54"/>
      <c r="D63" s="8"/>
      <c r="E63" s="8"/>
      <c r="F63" s="8"/>
      <c r="G63" s="8"/>
      <c r="H63" s="8"/>
      <c r="I63" s="8"/>
      <c r="J63" s="8"/>
      <c r="K63" s="8"/>
      <c r="L63" s="8"/>
      <c r="M63" s="8"/>
      <c r="N63" s="8"/>
      <c r="O63" s="8"/>
      <c r="P63" s="8"/>
      <c r="Q63" s="8"/>
      <c r="R63" s="8"/>
      <c r="S63" s="9"/>
      <c r="T63" s="60" t="s">
        <v>322</v>
      </c>
      <c r="U63" t="s">
        <v>325</v>
      </c>
      <c r="V63" s="53" t="s">
        <v>326</v>
      </c>
      <c r="W63" s="36">
        <f ca="1">$AX$58</f>
        <v>80.146619490599392</v>
      </c>
      <c r="X63" s="37">
        <f ca="1">$AX$60</f>
        <v>800847.83016615803</v>
      </c>
      <c r="Y63" s="36">
        <f ca="1">$AX$57</f>
        <v>26.058416147093752</v>
      </c>
      <c r="Z63" s="37">
        <f ca="1">$AX$59</f>
        <v>260330.29812953799</v>
      </c>
      <c r="AA63" s="39">
        <f ca="1">D41+500</f>
        <v>536.1</v>
      </c>
      <c r="AB63" s="42">
        <f ca="1">AA63*0.3048</f>
        <v>163.40328000000002</v>
      </c>
      <c r="AX63" s="48">
        <f ca="1">$O$47/2+4000</f>
        <v>4034.5520000000001</v>
      </c>
      <c r="AY63" s="48">
        <f ca="1">$O$47/2</f>
        <v>34.552</v>
      </c>
      <c r="AZ63" s="48">
        <v>250</v>
      </c>
      <c r="BA63" s="48">
        <v>250</v>
      </c>
      <c r="BB63" s="48">
        <f ca="1">$O$47/2</f>
        <v>34.552</v>
      </c>
      <c r="BC63" s="48">
        <f ca="1">$O$47/2</f>
        <v>34.552</v>
      </c>
      <c r="BD63" s="45">
        <f ca="1">250-$O$47/2</f>
        <v>215.44800000000001</v>
      </c>
      <c r="BE63" s="45">
        <f ca="1">250-$O$47/2</f>
        <v>215.44800000000001</v>
      </c>
      <c r="BF63" s="45">
        <f ca="1">$O$47</f>
        <v>69.103999999999999</v>
      </c>
      <c r="BG63" s="48">
        <f ca="1">250-$O$47/2</f>
        <v>215.44800000000001</v>
      </c>
      <c r="BH63" s="48">
        <f ca="1">250-$O$47/2</f>
        <v>215.44800000000001</v>
      </c>
      <c r="BI63" s="48">
        <f ca="1">$O$47</f>
        <v>69.103999999999999</v>
      </c>
      <c r="BJ63" s="45">
        <f ca="1">$O$47/2+2000</f>
        <v>2034.5519999999999</v>
      </c>
      <c r="BK63" s="45">
        <f ca="1">$AB$5</f>
        <v>142.27600000000001</v>
      </c>
      <c r="BL63" s="45">
        <f ca="1">$AB$5</f>
        <v>142.27600000000001</v>
      </c>
      <c r="BM63" s="48">
        <f ca="1">$AB$5+100</f>
        <v>242.27600000000001</v>
      </c>
      <c r="BN63" s="48">
        <f ca="1">$AB$5+100</f>
        <v>242.27600000000001</v>
      </c>
    </row>
    <row r="64" spans="1:66" ht="13.8" thickBot="1" x14ac:dyDescent="0.3">
      <c r="A64" s="7"/>
      <c r="B64" s="91"/>
      <c r="C64" s="55"/>
      <c r="D64" s="106"/>
      <c r="E64" s="8"/>
      <c r="F64" s="167"/>
      <c r="G64" s="8"/>
      <c r="H64" s="8"/>
      <c r="I64" s="8"/>
      <c r="J64" s="8"/>
      <c r="K64" s="8"/>
      <c r="L64" s="8"/>
      <c r="M64" s="8"/>
      <c r="N64" s="8"/>
      <c r="O64" s="8"/>
      <c r="P64" s="8"/>
      <c r="Q64" s="8"/>
      <c r="R64" s="8"/>
      <c r="S64" s="9"/>
      <c r="T64" s="58" t="s">
        <v>323</v>
      </c>
      <c r="U64" s="26" t="s">
        <v>285</v>
      </c>
      <c r="V64" s="27" t="s">
        <v>286</v>
      </c>
      <c r="W64" s="36">
        <f ca="1">$BB$58</f>
        <v>80.134435800000219</v>
      </c>
      <c r="X64" s="37">
        <f ca="1">$BB$60</f>
        <v>800803.96888000099</v>
      </c>
      <c r="Y64" s="36">
        <f ca="1">$BB$57</f>
        <v>26.058321611358156</v>
      </c>
      <c r="Z64" s="37">
        <f ca="1">$BB$59</f>
        <v>260329.95780088901</v>
      </c>
      <c r="AA64" s="37">
        <f>$D$27</f>
        <v>14</v>
      </c>
      <c r="AB64" s="40">
        <f t="shared" si="34"/>
        <v>4.2671999999999999</v>
      </c>
      <c r="AX64" s="48">
        <f>$D$25</f>
        <v>260330.3</v>
      </c>
      <c r="AY64" s="48">
        <f>$D$25</f>
        <v>260330.3</v>
      </c>
      <c r="AZ64" s="48">
        <f ca="1">AX82</f>
        <v>260410.259130416</v>
      </c>
      <c r="BA64" s="48">
        <f ca="1">AX82</f>
        <v>260410.259130416</v>
      </c>
      <c r="BB64" s="48">
        <f ca="1">AY82</f>
        <v>260330.642223106</v>
      </c>
      <c r="BC64" s="48">
        <f ca="1">AY82</f>
        <v>260330.642223106</v>
      </c>
      <c r="BD64" s="45">
        <f ca="1">BC82</f>
        <v>260330.642227862</v>
      </c>
      <c r="BE64" s="45">
        <f ca="1">BF82</f>
        <v>260329.95780578299</v>
      </c>
      <c r="BF64" s="45">
        <f ca="1">BC82</f>
        <v>260330.642227862</v>
      </c>
      <c r="BG64" s="48">
        <f ca="1">BB82</f>
        <v>260330.642227862</v>
      </c>
      <c r="BH64" s="48">
        <f ca="1">BI82</f>
        <v>260329.95780578299</v>
      </c>
      <c r="BI64" s="48">
        <f ca="1">BB82</f>
        <v>260330.642227862</v>
      </c>
      <c r="BJ64" s="45">
        <f>$D$25</f>
        <v>260330.3</v>
      </c>
      <c r="BK64" s="45">
        <f ca="1">BJ82</f>
        <v>260350.45068424899</v>
      </c>
      <c r="BL64" s="45">
        <f ca="1">BJ82</f>
        <v>260350.45068424899</v>
      </c>
      <c r="BM64" s="48">
        <f ca="1">BJ82</f>
        <v>260350.45068424899</v>
      </c>
      <c r="BN64" s="48">
        <f ca="1">BJ82</f>
        <v>260350.45068424899</v>
      </c>
    </row>
    <row r="65" spans="1:66" ht="13.8" thickBot="1" x14ac:dyDescent="0.3">
      <c r="A65" s="15"/>
      <c r="B65" s="96"/>
      <c r="C65" s="56"/>
      <c r="D65" s="18"/>
      <c r="E65" s="16"/>
      <c r="F65" s="16"/>
      <c r="G65" s="174"/>
      <c r="H65" s="175"/>
      <c r="I65" s="175"/>
      <c r="J65" s="175"/>
      <c r="K65" s="175"/>
      <c r="L65" s="175"/>
      <c r="M65" s="175"/>
      <c r="N65" s="175"/>
      <c r="O65" s="175"/>
      <c r="P65" s="175"/>
      <c r="Q65" s="175"/>
      <c r="R65" s="175"/>
      <c r="S65" s="176"/>
      <c r="T65" s="58"/>
      <c r="U65" s="28"/>
      <c r="V65" s="29" t="s">
        <v>290</v>
      </c>
      <c r="W65" s="36">
        <f ca="1">$BC$58</f>
        <v>80.134435800000219</v>
      </c>
      <c r="X65" s="37">
        <f ca="1">$BC$60</f>
        <v>800803.96888000099</v>
      </c>
      <c r="Y65" s="36">
        <f ca="1">$BC$57</f>
        <v>26.058511728640624</v>
      </c>
      <c r="Z65" s="37">
        <f ca="1">$BC$59</f>
        <v>260330.642223106</v>
      </c>
      <c r="AA65" s="37">
        <f>$D$27</f>
        <v>14</v>
      </c>
      <c r="AB65" s="41">
        <f t="shared" si="34"/>
        <v>4.2671999999999999</v>
      </c>
      <c r="AX65" s="48">
        <f>$D$26</f>
        <v>800803.59</v>
      </c>
      <c r="AY65" s="48">
        <f>$D$26</f>
        <v>800803.59</v>
      </c>
      <c r="AZ65" s="48">
        <f ca="1">AX83</f>
        <v>800803.59001599997</v>
      </c>
      <c r="BA65" s="48">
        <f ca="1">AX83</f>
        <v>800803.59001599997</v>
      </c>
      <c r="BB65" s="48">
        <f ca="1">AY83</f>
        <v>800803.59001599997</v>
      </c>
      <c r="BC65" s="48">
        <f ca="1">AY83</f>
        <v>800803.59001599997</v>
      </c>
      <c r="BD65" s="45">
        <f ca="1">BC83</f>
        <v>800803.21114198701</v>
      </c>
      <c r="BE65" s="45">
        <f ca="1">BF83</f>
        <v>800803.21115200105</v>
      </c>
      <c r="BF65" s="45">
        <f ca="1">BC83</f>
        <v>800803.21114198701</v>
      </c>
      <c r="BG65" s="48">
        <f ca="1">BB83</f>
        <v>800803.96889001306</v>
      </c>
      <c r="BH65" s="48">
        <f ca="1">BI83</f>
        <v>800803.96888000099</v>
      </c>
      <c r="BI65" s="48">
        <f ca="1">BB83</f>
        <v>800803.96889001306</v>
      </c>
      <c r="BJ65" s="45">
        <f>$D$26</f>
        <v>800803.59</v>
      </c>
      <c r="BK65" s="45">
        <f ca="1">BJ83</f>
        <v>800803.59001599997</v>
      </c>
      <c r="BL65" s="45">
        <f ca="1">BJ83</f>
        <v>800803.59001599997</v>
      </c>
      <c r="BM65" s="48">
        <f ca="1">BJ83</f>
        <v>800803.59001599997</v>
      </c>
      <c r="BN65" s="48">
        <f ca="1">BJ83</f>
        <v>800803.59001599997</v>
      </c>
    </row>
    <row r="66" spans="1:66" ht="13.8" thickBot="1" x14ac:dyDescent="0.3">
      <c r="A66" s="83"/>
      <c r="B66" s="53"/>
      <c r="C66" s="83"/>
      <c r="D66" s="83"/>
      <c r="E66" s="83"/>
      <c r="F66" s="83"/>
      <c r="G66" s="83"/>
      <c r="H66" s="83"/>
      <c r="I66" s="83"/>
      <c r="J66" s="83"/>
      <c r="K66" s="83"/>
      <c r="L66" s="83"/>
      <c r="M66" s="83"/>
      <c r="N66" s="83"/>
      <c r="O66" s="83"/>
      <c r="P66" s="83"/>
      <c r="Q66" s="83"/>
      <c r="R66" s="83"/>
      <c r="S66" s="83"/>
      <c r="T66" s="58"/>
      <c r="U66" s="28"/>
      <c r="V66" s="29" t="s">
        <v>293</v>
      </c>
      <c r="W66" s="36">
        <f ca="1">$AZ$58</f>
        <v>80.146619490000091</v>
      </c>
      <c r="X66" s="37">
        <f ca="1">$AZ$60</f>
        <v>800847.83016399993</v>
      </c>
      <c r="Y66" s="36">
        <f ca="1">$AZ$57</f>
        <v>26.059103944026184</v>
      </c>
      <c r="Z66" s="37">
        <f ca="1">$AZ$59</f>
        <v>260332.77419849401</v>
      </c>
      <c r="AA66" s="38">
        <f>$D$27+500</f>
        <v>514</v>
      </c>
      <c r="AB66" s="41">
        <f t="shared" si="34"/>
        <v>156.66720000000001</v>
      </c>
      <c r="AX66" s="48">
        <f>$Y$5</f>
        <v>0</v>
      </c>
      <c r="AY66" s="48">
        <f>$Y$5</f>
        <v>0</v>
      </c>
      <c r="AZ66" s="48">
        <f>$Y$14</f>
        <v>90</v>
      </c>
      <c r="BA66" s="48">
        <f>$Y$13</f>
        <v>270</v>
      </c>
      <c r="BB66" s="48">
        <f>$Y$13</f>
        <v>270</v>
      </c>
      <c r="BC66" s="48">
        <f>$Y$14</f>
        <v>90</v>
      </c>
      <c r="BD66" s="45">
        <f>$Y$14</f>
        <v>90</v>
      </c>
      <c r="BE66" s="45">
        <f>$Y$14</f>
        <v>90</v>
      </c>
      <c r="BF66" s="45">
        <f>$Y$12</f>
        <v>180</v>
      </c>
      <c r="BG66" s="48">
        <f>$Y$13</f>
        <v>270</v>
      </c>
      <c r="BH66" s="48">
        <f>$Y$13</f>
        <v>270</v>
      </c>
      <c r="BI66" s="48">
        <f>$Y$12</f>
        <v>180</v>
      </c>
      <c r="BJ66" s="45">
        <f>$Y$5</f>
        <v>0</v>
      </c>
      <c r="BK66" s="45">
        <f>$Y$14</f>
        <v>90</v>
      </c>
      <c r="BL66" s="45">
        <f>$Y$13</f>
        <v>270</v>
      </c>
      <c r="BM66" s="48">
        <f>$Y$14</f>
        <v>90</v>
      </c>
      <c r="BN66" s="48">
        <f>$Y$13</f>
        <v>270</v>
      </c>
    </row>
    <row r="67" spans="1:66" ht="13.8" thickBot="1" x14ac:dyDescent="0.3">
      <c r="A67" s="83"/>
      <c r="B67" s="53"/>
      <c r="C67" s="83"/>
      <c r="D67" s="83"/>
      <c r="E67" s="83"/>
      <c r="F67" s="83"/>
      <c r="G67" s="83"/>
      <c r="H67" s="83"/>
      <c r="I67" s="83"/>
      <c r="J67" s="83"/>
      <c r="K67" s="83"/>
      <c r="L67" s="83"/>
      <c r="M67" s="83"/>
      <c r="N67" s="83"/>
      <c r="O67" s="83"/>
      <c r="P67" s="83"/>
      <c r="Q67" s="83"/>
      <c r="R67" s="83"/>
      <c r="S67" s="83"/>
      <c r="T67" s="58"/>
      <c r="U67" s="30"/>
      <c r="V67" s="31" t="s">
        <v>292</v>
      </c>
      <c r="W67" s="36">
        <f ca="1">$BA$58</f>
        <v>80.146619490000091</v>
      </c>
      <c r="X67" s="37">
        <f ca="1">$BA$60</f>
        <v>800847.83016399993</v>
      </c>
      <c r="Y67" s="36">
        <f ca="1">$BA$57</f>
        <v>26.057728355908893</v>
      </c>
      <c r="Z67" s="37">
        <f ca="1">$BA$59</f>
        <v>260327.822081272</v>
      </c>
      <c r="AA67" s="38">
        <f>$D$27+500</f>
        <v>514</v>
      </c>
      <c r="AB67" s="42">
        <f t="shared" si="34"/>
        <v>156.66720000000001</v>
      </c>
      <c r="AX67" s="48">
        <f t="shared" ref="AX67:BN67" ca="1" si="40">ROUND((AX63/6076.115489),15)</f>
        <v>0.66400186225953395</v>
      </c>
      <c r="AY67" s="48">
        <f t="shared" ca="1" si="40"/>
        <v>5.686527858556E-3</v>
      </c>
      <c r="AZ67" s="48">
        <f t="shared" si="40"/>
        <v>4.1144708400061E-2</v>
      </c>
      <c r="BA67" s="48">
        <f t="shared" si="40"/>
        <v>4.1144708400061E-2</v>
      </c>
      <c r="BB67" s="48">
        <f t="shared" ca="1" si="40"/>
        <v>5.686527858556E-3</v>
      </c>
      <c r="BC67" s="48">
        <f t="shared" ca="1" si="40"/>
        <v>5.686527858556E-3</v>
      </c>
      <c r="BD67" s="45">
        <f t="shared" ca="1" si="40"/>
        <v>3.5458180541505999E-2</v>
      </c>
      <c r="BE67" s="45">
        <f t="shared" ca="1" si="40"/>
        <v>3.5458180541505999E-2</v>
      </c>
      <c r="BF67" s="45">
        <f t="shared" ca="1" si="40"/>
        <v>1.1373055717111001E-2</v>
      </c>
      <c r="BG67" s="48">
        <f t="shared" ca="1" si="40"/>
        <v>3.5458180541505999E-2</v>
      </c>
      <c r="BH67" s="48">
        <f t="shared" ca="1" si="40"/>
        <v>3.5458180541505999E-2</v>
      </c>
      <c r="BI67" s="48">
        <f t="shared" ca="1" si="40"/>
        <v>1.1373055717111001E-2</v>
      </c>
      <c r="BJ67" s="45">
        <f t="shared" ca="1" si="40"/>
        <v>0.334844195059045</v>
      </c>
      <c r="BK67" s="45">
        <f t="shared" ca="1" si="40"/>
        <v>2.3415618129308001E-2</v>
      </c>
      <c r="BL67" s="45">
        <f t="shared" ca="1" si="40"/>
        <v>2.3415618129308001E-2</v>
      </c>
      <c r="BM67" s="48">
        <f t="shared" ca="1" si="40"/>
        <v>3.9873501489333003E-2</v>
      </c>
      <c r="BN67" s="48">
        <f t="shared" ca="1" si="40"/>
        <v>3.9873501489333003E-2</v>
      </c>
    </row>
    <row r="68" spans="1:66" ht="13.8" thickBot="1" x14ac:dyDescent="0.3">
      <c r="A68" s="83"/>
      <c r="B68" s="53"/>
      <c r="C68" s="83"/>
      <c r="D68" s="83"/>
      <c r="E68" s="83"/>
      <c r="F68" s="83"/>
      <c r="G68" s="83"/>
      <c r="H68" s="83"/>
      <c r="I68" s="83"/>
      <c r="J68" s="83"/>
      <c r="K68" s="83"/>
      <c r="L68" s="83"/>
      <c r="M68" s="83"/>
      <c r="N68" s="83"/>
      <c r="O68" s="83"/>
      <c r="P68" s="83"/>
      <c r="Q68" s="83"/>
      <c r="R68" s="83"/>
      <c r="S68" s="83"/>
      <c r="T68" s="58"/>
      <c r="U68" s="26" t="s">
        <v>445</v>
      </c>
      <c r="V68" s="27" t="s">
        <v>286</v>
      </c>
      <c r="W68" s="36">
        <f ca="1">$BB$58</f>
        <v>80.134435800000219</v>
      </c>
      <c r="X68" s="37">
        <f ca="1">$BB$60</f>
        <v>800803.96888000099</v>
      </c>
      <c r="Y68" s="36">
        <f ca="1">$BB$57</f>
        <v>26.058321611358156</v>
      </c>
      <c r="Z68" s="37">
        <f ca="1">$BB$59</f>
        <v>260329.95780088901</v>
      </c>
      <c r="AA68" s="37">
        <f>$D$27</f>
        <v>14</v>
      </c>
      <c r="AB68" s="40">
        <f t="shared" si="34"/>
        <v>4.2671999999999999</v>
      </c>
      <c r="AX68" s="48">
        <f t="shared" ref="AX68:BN68" si="41">ROUND((((ROUND(((((((AX64)-((TRUNC(AX64/100))*100))/60)+(TRUNC(AX64/100))-((TRUNC(AX64/10000))*100))/60)+((TRUNC(AX64/10000))))*1000000,2))/1000000)*(PI()/180)),15)</f>
        <v>0.45480516874807703</v>
      </c>
      <c r="AY68" s="48">
        <f t="shared" si="41"/>
        <v>0.45480516874807703</v>
      </c>
      <c r="AZ68" s="48">
        <f t="shared" ca="1" si="41"/>
        <v>0.45499889610625799</v>
      </c>
      <c r="BA68" s="48">
        <f t="shared" ca="1" si="41"/>
        <v>0.45499889610625799</v>
      </c>
      <c r="BB68" s="48">
        <f t="shared" ca="1" si="41"/>
        <v>0.45480682785806398</v>
      </c>
      <c r="BC68" s="48">
        <f t="shared" ca="1" si="41"/>
        <v>0.45480682785806398</v>
      </c>
      <c r="BD68" s="45">
        <f t="shared" ca="1" si="41"/>
        <v>0.45480682785806398</v>
      </c>
      <c r="BE68" s="45">
        <f t="shared" ca="1" si="41"/>
        <v>0.45480350963809002</v>
      </c>
      <c r="BF68" s="45">
        <f t="shared" ca="1" si="41"/>
        <v>0.45480682785806398</v>
      </c>
      <c r="BG68" s="48">
        <f t="shared" ca="1" si="41"/>
        <v>0.45480682785806398</v>
      </c>
      <c r="BH68" s="48">
        <f t="shared" ca="1" si="41"/>
        <v>0.45480350963809002</v>
      </c>
      <c r="BI68" s="48">
        <f t="shared" ca="1" si="41"/>
        <v>0.45480682785806398</v>
      </c>
      <c r="BJ68" s="45">
        <f t="shared" si="41"/>
        <v>0.45480516874807703</v>
      </c>
      <c r="BK68" s="45">
        <f t="shared" ca="1" si="41"/>
        <v>0.45490286198216101</v>
      </c>
      <c r="BL68" s="45">
        <f t="shared" ca="1" si="41"/>
        <v>0.45490286198216101</v>
      </c>
      <c r="BM68" s="48">
        <f t="shared" ca="1" si="41"/>
        <v>0.45490286198216101</v>
      </c>
      <c r="BN68" s="48">
        <f t="shared" ca="1" si="41"/>
        <v>0.45490286198216101</v>
      </c>
    </row>
    <row r="69" spans="1:66" ht="13.8" thickBot="1" x14ac:dyDescent="0.3">
      <c r="A69" s="83"/>
      <c r="B69" s="53"/>
      <c r="C69" s="83"/>
      <c r="D69" s="83"/>
      <c r="E69" s="83"/>
      <c r="F69" s="83"/>
      <c r="G69" s="83"/>
      <c r="H69" s="83"/>
      <c r="I69" s="83"/>
      <c r="J69" s="83"/>
      <c r="K69" s="83"/>
      <c r="L69" s="83"/>
      <c r="M69" s="83"/>
      <c r="N69" s="83"/>
      <c r="O69" s="83"/>
      <c r="P69" s="83"/>
      <c r="Q69" s="83"/>
      <c r="R69" s="83"/>
      <c r="S69" s="83"/>
      <c r="T69" s="58"/>
      <c r="U69" s="28"/>
      <c r="V69" s="29" t="s">
        <v>295</v>
      </c>
      <c r="W69" s="36">
        <f ca="1">$BI$58</f>
        <v>80.134225314777112</v>
      </c>
      <c r="X69" s="37">
        <f ca="1">$BI$60</f>
        <v>800803.211133198</v>
      </c>
      <c r="Y69" s="36">
        <f ca="1">$BI$57</f>
        <v>26.058321609846633</v>
      </c>
      <c r="Z69" s="37">
        <f ca="1">$BI$59</f>
        <v>260329.95779544802</v>
      </c>
      <c r="AA69" s="37">
        <f>$D$27</f>
        <v>14</v>
      </c>
      <c r="AB69" s="41">
        <f t="shared" si="34"/>
        <v>4.2671999999999999</v>
      </c>
      <c r="AX69" s="48">
        <f t="shared" ref="AX69:BN69" si="42">ROUND((((ROUND(((((((AX65)-((TRUNC(AX65/100))*100))/60)+(TRUNC(AX65/100))-((TRUNC(AX65/10000))*100))/60)+((TRUNC(AX65/10000))))*1000000,2))/1000000)*(PI()/180)),15)</f>
        <v>1.39860791215351</v>
      </c>
      <c r="AY69" s="48">
        <f t="shared" si="42"/>
        <v>1.39860791215351</v>
      </c>
      <c r="AZ69" s="48">
        <f t="shared" ca="1" si="42"/>
        <v>1.39860791215351</v>
      </c>
      <c r="BA69" s="48">
        <f t="shared" ca="1" si="42"/>
        <v>1.39860791215351</v>
      </c>
      <c r="BB69" s="48">
        <f t="shared" ca="1" si="42"/>
        <v>1.39860791215351</v>
      </c>
      <c r="BC69" s="48">
        <f t="shared" ca="1" si="42"/>
        <v>1.39860791215351</v>
      </c>
      <c r="BD69" s="45">
        <f t="shared" ca="1" si="42"/>
        <v>1.3986060753690099</v>
      </c>
      <c r="BE69" s="45">
        <f t="shared" ca="1" si="42"/>
        <v>1.3986060753690099</v>
      </c>
      <c r="BF69" s="45">
        <f t="shared" ca="1" si="42"/>
        <v>1.3986060753690099</v>
      </c>
      <c r="BG69" s="48">
        <f t="shared" ca="1" si="42"/>
        <v>1.39860974893802</v>
      </c>
      <c r="BH69" s="48">
        <f t="shared" ca="1" si="42"/>
        <v>1.39860974893802</v>
      </c>
      <c r="BI69" s="48">
        <f t="shared" ca="1" si="42"/>
        <v>1.39860974893802</v>
      </c>
      <c r="BJ69" s="45">
        <f t="shared" si="42"/>
        <v>1.39860791215351</v>
      </c>
      <c r="BK69" s="45">
        <f t="shared" ca="1" si="42"/>
        <v>1.39860791215351</v>
      </c>
      <c r="BL69" s="45">
        <f t="shared" ca="1" si="42"/>
        <v>1.39860791215351</v>
      </c>
      <c r="BM69" s="48">
        <f t="shared" ca="1" si="42"/>
        <v>1.39860791215351</v>
      </c>
      <c r="BN69" s="48">
        <f t="shared" ca="1" si="42"/>
        <v>1.39860791215351</v>
      </c>
    </row>
    <row r="70" spans="1:66" ht="13.8" thickBot="1" x14ac:dyDescent="0.3">
      <c r="A70" s="83"/>
      <c r="B70" s="53"/>
      <c r="C70" s="83"/>
      <c r="D70" s="83"/>
      <c r="E70" s="83"/>
      <c r="F70" s="83"/>
      <c r="G70" s="83"/>
      <c r="H70" s="83"/>
      <c r="I70" s="83"/>
      <c r="J70" s="83"/>
      <c r="K70" s="83"/>
      <c r="L70" s="83"/>
      <c r="M70" s="83"/>
      <c r="N70" s="83"/>
      <c r="O70" s="83"/>
      <c r="P70" s="83"/>
      <c r="Q70" s="83"/>
      <c r="R70" s="83"/>
      <c r="S70" s="83"/>
      <c r="T70" s="58"/>
      <c r="U70" s="28"/>
      <c r="V70" s="29" t="s">
        <v>296</v>
      </c>
      <c r="W70" s="36">
        <f ca="1">$BH$58</f>
        <v>80.134225309999792</v>
      </c>
      <c r="X70" s="37">
        <f ca="1">$BH$60</f>
        <v>800803.21111599903</v>
      </c>
      <c r="Y70" s="36">
        <f ca="1">$BH$57</f>
        <v>26.057728874550751</v>
      </c>
      <c r="Z70" s="37">
        <f ca="1">$BH$59</f>
        <v>260327.82394838301</v>
      </c>
      <c r="AA70" s="38">
        <f ca="1">D27+(250-O47/2)/2</f>
        <v>121.724</v>
      </c>
      <c r="AB70" s="41">
        <f ca="1">AA70*0.3048</f>
        <v>37.101475200000003</v>
      </c>
      <c r="AX70" s="48">
        <f t="shared" ref="AX70:BN70" si="43">ROUND((((((AX66-(TRUNC(AX66)))*0.6)*100)-(TRUNC(((AX66-(TRUNC(AX66)))*0.6)*100)))*0.006)+(TRUNC(AX66)+((TRUNC(((AX66-(TRUNC(AX66)))*0.6)*100))/100)),15)</f>
        <v>0</v>
      </c>
      <c r="AY70" s="48">
        <f t="shared" si="43"/>
        <v>0</v>
      </c>
      <c r="AZ70" s="48">
        <f t="shared" si="43"/>
        <v>90</v>
      </c>
      <c r="BA70" s="48">
        <f t="shared" si="43"/>
        <v>270</v>
      </c>
      <c r="BB70" s="48">
        <f t="shared" si="43"/>
        <v>270</v>
      </c>
      <c r="BC70" s="48">
        <f t="shared" si="43"/>
        <v>90</v>
      </c>
      <c r="BD70" s="45">
        <f t="shared" si="43"/>
        <v>90</v>
      </c>
      <c r="BE70" s="45">
        <f t="shared" si="43"/>
        <v>90</v>
      </c>
      <c r="BF70" s="45">
        <f t="shared" si="43"/>
        <v>180</v>
      </c>
      <c r="BG70" s="48">
        <f t="shared" si="43"/>
        <v>270</v>
      </c>
      <c r="BH70" s="48">
        <f t="shared" si="43"/>
        <v>270</v>
      </c>
      <c r="BI70" s="48">
        <f t="shared" si="43"/>
        <v>180</v>
      </c>
      <c r="BJ70" s="45">
        <f t="shared" si="43"/>
        <v>0</v>
      </c>
      <c r="BK70" s="45">
        <f t="shared" si="43"/>
        <v>90</v>
      </c>
      <c r="BL70" s="45">
        <f t="shared" si="43"/>
        <v>270</v>
      </c>
      <c r="BM70" s="48">
        <f t="shared" si="43"/>
        <v>90</v>
      </c>
      <c r="BN70" s="48">
        <f t="shared" si="43"/>
        <v>270</v>
      </c>
    </row>
    <row r="71" spans="1:66" ht="13.8" thickBot="1" x14ac:dyDescent="0.3">
      <c r="A71" s="83"/>
      <c r="B71" s="53"/>
      <c r="C71" s="83"/>
      <c r="D71" s="83"/>
      <c r="E71" s="83"/>
      <c r="F71" s="83"/>
      <c r="G71" s="83"/>
      <c r="H71" s="83"/>
      <c r="I71" s="83"/>
      <c r="J71" s="83"/>
      <c r="K71" s="83"/>
      <c r="L71" s="83"/>
      <c r="M71" s="83"/>
      <c r="N71" s="83"/>
      <c r="O71" s="83"/>
      <c r="P71" s="83"/>
      <c r="Q71" s="83"/>
      <c r="R71" s="83"/>
      <c r="S71" s="83"/>
      <c r="T71" s="58"/>
      <c r="U71" s="28"/>
      <c r="V71" s="29" t="s">
        <v>297</v>
      </c>
      <c r="W71" s="36">
        <f ca="1">$BG$58</f>
        <v>80.134435800000219</v>
      </c>
      <c r="X71" s="37">
        <f ca="1">$BG$60</f>
        <v>800803.96888000099</v>
      </c>
      <c r="Y71" s="36">
        <f ca="1">$BG$57</f>
        <v>26.057728874550751</v>
      </c>
      <c r="Z71" s="37">
        <f ca="1">$BG$59</f>
        <v>260327.82394838301</v>
      </c>
      <c r="AA71" s="38">
        <f ca="1">D27+(250-O47/2)/2</f>
        <v>121.724</v>
      </c>
      <c r="AB71" s="41">
        <f ca="1">AA71*0.3048</f>
        <v>37.101475200000003</v>
      </c>
      <c r="AX71" s="48">
        <f t="shared" ref="AX71:BN71" si="44">ROUND((AX66*(PI()/180)),15)</f>
        <v>0</v>
      </c>
      <c r="AY71" s="48">
        <f t="shared" si="44"/>
        <v>0</v>
      </c>
      <c r="AZ71" s="48">
        <f t="shared" si="44"/>
        <v>1.5707963267949001</v>
      </c>
      <c r="BA71" s="48">
        <f t="shared" si="44"/>
        <v>4.7123889803846897</v>
      </c>
      <c r="BB71" s="48">
        <f t="shared" si="44"/>
        <v>4.7123889803846897</v>
      </c>
      <c r="BC71" s="48">
        <f t="shared" si="44"/>
        <v>1.5707963267949001</v>
      </c>
      <c r="BD71" s="45">
        <f t="shared" si="44"/>
        <v>1.5707963267949001</v>
      </c>
      <c r="BE71" s="45">
        <f t="shared" si="44"/>
        <v>1.5707963267949001</v>
      </c>
      <c r="BF71" s="45">
        <f t="shared" si="44"/>
        <v>3.14159265358979</v>
      </c>
      <c r="BG71" s="48">
        <f t="shared" si="44"/>
        <v>4.7123889803846897</v>
      </c>
      <c r="BH71" s="48">
        <f t="shared" si="44"/>
        <v>4.7123889803846897</v>
      </c>
      <c r="BI71" s="48">
        <f t="shared" si="44"/>
        <v>3.14159265358979</v>
      </c>
      <c r="BJ71" s="45">
        <f t="shared" si="44"/>
        <v>0</v>
      </c>
      <c r="BK71" s="45">
        <f t="shared" si="44"/>
        <v>1.5707963267949001</v>
      </c>
      <c r="BL71" s="45">
        <f t="shared" si="44"/>
        <v>4.7123889803846897</v>
      </c>
      <c r="BM71" s="48">
        <f t="shared" si="44"/>
        <v>1.5707963267949001</v>
      </c>
      <c r="BN71" s="48">
        <f t="shared" si="44"/>
        <v>4.7123889803846897</v>
      </c>
    </row>
    <row r="72" spans="1:66" ht="13.8" thickBot="1" x14ac:dyDescent="0.3">
      <c r="A72" s="83"/>
      <c r="B72" s="53"/>
      <c r="C72" s="83"/>
      <c r="D72" s="83"/>
      <c r="E72" s="83"/>
      <c r="F72" s="83"/>
      <c r="G72" s="83"/>
      <c r="H72" s="83"/>
      <c r="I72" s="83"/>
      <c r="J72" s="83"/>
      <c r="K72" s="83"/>
      <c r="L72" s="83"/>
      <c r="M72" s="83"/>
      <c r="N72" s="83"/>
      <c r="O72" s="83"/>
      <c r="P72" s="83"/>
      <c r="Q72" s="83"/>
      <c r="R72" s="83"/>
      <c r="S72" s="83"/>
      <c r="T72" s="58"/>
      <c r="U72" s="30"/>
      <c r="V72" s="31" t="s">
        <v>292</v>
      </c>
      <c r="W72" s="36">
        <f ca="1">$BA$58</f>
        <v>80.146619490000091</v>
      </c>
      <c r="X72" s="37">
        <f ca="1">$BA$60</f>
        <v>800847.83016399993</v>
      </c>
      <c r="Y72" s="36">
        <f ca="1">$BA$57</f>
        <v>26.057728355908893</v>
      </c>
      <c r="Z72" s="37">
        <f ca="1">$BA$59</f>
        <v>260327.822081272</v>
      </c>
      <c r="AA72" s="39">
        <f>$D$27+500</f>
        <v>514</v>
      </c>
      <c r="AB72" s="42">
        <f t="shared" si="34"/>
        <v>156.66720000000001</v>
      </c>
      <c r="AX72" s="48">
        <f t="shared" ref="AX72:BN72" ca="1" si="45">ROUND(((AX67*1852)/6399598.4),15)</f>
        <v>1.9215759678100001E-4</v>
      </c>
      <c r="AY72" s="48">
        <f t="shared" ca="1" si="45"/>
        <v>1.6456422630000001E-6</v>
      </c>
      <c r="AZ72" s="48">
        <f t="shared" si="45"/>
        <v>1.1906997156999999E-5</v>
      </c>
      <c r="BA72" s="48">
        <f t="shared" si="45"/>
        <v>1.1906997156999999E-5</v>
      </c>
      <c r="BB72" s="48">
        <f t="shared" ca="1" si="45"/>
        <v>1.6456422630000001E-6</v>
      </c>
      <c r="BC72" s="48">
        <f t="shared" ca="1" si="45"/>
        <v>1.6456422630000001E-6</v>
      </c>
      <c r="BD72" s="45">
        <f t="shared" ca="1" si="45"/>
        <v>1.0261354894E-5</v>
      </c>
      <c r="BE72" s="45">
        <f t="shared" ca="1" si="45"/>
        <v>1.0261354894E-5</v>
      </c>
      <c r="BF72" s="45">
        <f t="shared" ca="1" si="45"/>
        <v>3.2912845260000001E-6</v>
      </c>
      <c r="BG72" s="48">
        <f t="shared" ca="1" si="45"/>
        <v>1.0261354894E-5</v>
      </c>
      <c r="BH72" s="48">
        <f t="shared" ca="1" si="45"/>
        <v>1.0261354894E-5</v>
      </c>
      <c r="BI72" s="48">
        <f t="shared" ca="1" si="45"/>
        <v>3.2912845260000001E-6</v>
      </c>
      <c r="BJ72" s="45">
        <f t="shared" ca="1" si="45"/>
        <v>9.6901619521999998E-5</v>
      </c>
      <c r="BK72" s="45">
        <f t="shared" ca="1" si="45"/>
        <v>6.7763197100000004E-6</v>
      </c>
      <c r="BL72" s="45">
        <f t="shared" ca="1" si="45"/>
        <v>6.7763197100000004E-6</v>
      </c>
      <c r="BM72" s="48">
        <f t="shared" ca="1" si="45"/>
        <v>1.1539118573E-5</v>
      </c>
      <c r="BN72" s="48">
        <f t="shared" ca="1" si="45"/>
        <v>1.1539118573E-5</v>
      </c>
    </row>
    <row r="73" spans="1:66" ht="13.8" thickBot="1" x14ac:dyDescent="0.3">
      <c r="A73" s="83"/>
      <c r="B73" s="53"/>
      <c r="C73" s="83"/>
      <c r="D73" s="83"/>
      <c r="E73" s="83"/>
      <c r="F73" s="83"/>
      <c r="G73" s="83"/>
      <c r="H73" s="83"/>
      <c r="I73" s="83"/>
      <c r="J73" s="83"/>
      <c r="K73" s="83"/>
      <c r="L73" s="83"/>
      <c r="M73" s="83"/>
      <c r="N73" s="83"/>
      <c r="O73" s="83"/>
      <c r="P73" s="83"/>
      <c r="Q73" s="83"/>
      <c r="R73" s="83"/>
      <c r="S73" s="83"/>
      <c r="T73" s="58"/>
      <c r="U73" s="26" t="s">
        <v>446</v>
      </c>
      <c r="V73" s="27" t="s">
        <v>290</v>
      </c>
      <c r="W73" s="36">
        <f ca="1">$BC$58</f>
        <v>80.134435800000219</v>
      </c>
      <c r="X73" s="37">
        <f ca="1">$BC$60</f>
        <v>800803.96888000099</v>
      </c>
      <c r="Y73" s="36">
        <f ca="1">$BC$57</f>
        <v>26.058511728640624</v>
      </c>
      <c r="Z73" s="37">
        <f ca="1">$BB$59</f>
        <v>260329.95780088901</v>
      </c>
      <c r="AA73" s="37">
        <f>$D$27</f>
        <v>14</v>
      </c>
      <c r="AB73" s="40">
        <f t="shared" si="34"/>
        <v>4.2671999999999999</v>
      </c>
      <c r="AX73" s="48">
        <f t="shared" ref="AX73:BN73" ca="1" si="46">ROUND(((((COS(((((AX67*1852)/6399598.4)*(COS(AX71)))/2)+AX68))*(COS(((((AX67*1852)/6399598.4)*(COS(AX71)))/2)+AX68)))/148.38)+1),15)</f>
        <v>1.0054384070237901</v>
      </c>
      <c r="AY73" s="48">
        <f t="shared" ca="1" si="46"/>
        <v>1.0054389137486299</v>
      </c>
      <c r="AZ73" s="48">
        <f t="shared" ca="1" si="46"/>
        <v>1.00543788749341</v>
      </c>
      <c r="BA73" s="48">
        <f t="shared" ca="1" si="46"/>
        <v>1.00543788749341</v>
      </c>
      <c r="BB73" s="48">
        <f t="shared" ca="1" si="46"/>
        <v>1.0054389093002201</v>
      </c>
      <c r="BC73" s="48">
        <f t="shared" ca="1" si="46"/>
        <v>1.0054389093002201</v>
      </c>
      <c r="BD73" s="45">
        <f t="shared" ca="1" si="46"/>
        <v>1.0054389093002201</v>
      </c>
      <c r="BE73" s="45">
        <f t="shared" ca="1" si="46"/>
        <v>1.0054389269505299</v>
      </c>
      <c r="BF73" s="45">
        <f t="shared" ca="1" si="46"/>
        <v>1.00543891805375</v>
      </c>
      <c r="BG73" s="48">
        <f t="shared" ca="1" si="46"/>
        <v>1.0054389093002201</v>
      </c>
      <c r="BH73" s="48">
        <f t="shared" ca="1" si="46"/>
        <v>1.0054389269505299</v>
      </c>
      <c r="BI73" s="48">
        <f t="shared" ca="1" si="46"/>
        <v>1.00543891805375</v>
      </c>
      <c r="BJ73" s="45">
        <f t="shared" ca="1" si="46"/>
        <v>1.00543866039559</v>
      </c>
      <c r="BK73" s="45">
        <f t="shared" ca="1" si="46"/>
        <v>1.00543839843497</v>
      </c>
      <c r="BL73" s="45">
        <f t="shared" ca="1" si="46"/>
        <v>1.00543839843497</v>
      </c>
      <c r="BM73" s="48">
        <f t="shared" ca="1" si="46"/>
        <v>1.00543839843497</v>
      </c>
      <c r="BN73" s="48">
        <f t="shared" ca="1" si="46"/>
        <v>1.00543839843497</v>
      </c>
    </row>
    <row r="74" spans="1:66" ht="13.8" thickBot="1" x14ac:dyDescent="0.3">
      <c r="T74" s="58"/>
      <c r="U74" s="28"/>
      <c r="V74" s="29" t="s">
        <v>298</v>
      </c>
      <c r="W74" s="36">
        <f ca="1">$BF$58</f>
        <v>80.134225314437344</v>
      </c>
      <c r="X74" s="37">
        <f ca="1">$BF$60</f>
        <v>800803.21113197401</v>
      </c>
      <c r="Y74" s="36">
        <f ca="1">$BF$57</f>
        <v>26.058511729846643</v>
      </c>
      <c r="Z74" s="37">
        <f ca="1">$BF$59</f>
        <v>260330.64222744803</v>
      </c>
      <c r="AA74" s="37">
        <f>$D$27</f>
        <v>14</v>
      </c>
      <c r="AB74" s="41">
        <f t="shared" si="34"/>
        <v>4.2671999999999999</v>
      </c>
      <c r="AX74" s="48">
        <f t="shared" ref="AX74:BN74" ca="1" si="47">((AX73*AX73)*(AX72*AX72))*(SIN(AX71))*(COS(AX71))</f>
        <v>0</v>
      </c>
      <c r="AY74" s="48">
        <f t="shared" ca="1" si="47"/>
        <v>0</v>
      </c>
      <c r="AZ74" s="48">
        <f t="shared" ca="1" si="47"/>
        <v>-5.0040495121825445E-25</v>
      </c>
      <c r="BA74" s="48">
        <f t="shared" ca="1" si="47"/>
        <v>2.6338738388191822E-26</v>
      </c>
      <c r="BB74" s="48">
        <f t="shared" ca="1" si="47"/>
        <v>5.0310915023001388E-28</v>
      </c>
      <c r="BC74" s="48">
        <f t="shared" ca="1" si="47"/>
        <v>-9.5584802152549493E-27</v>
      </c>
      <c r="BD74" s="45">
        <f t="shared" ca="1" si="47"/>
        <v>-3.7164423240401762E-25</v>
      </c>
      <c r="BE74" s="45">
        <f t="shared" ca="1" si="47"/>
        <v>-3.7164424545232088E-25</v>
      </c>
      <c r="BF74" s="45">
        <f t="shared" ca="1" si="47"/>
        <v>-3.5383266445380045E-26</v>
      </c>
      <c r="BG74" s="48">
        <f t="shared" ca="1" si="47"/>
        <v>1.9561437565593574E-26</v>
      </c>
      <c r="BH74" s="48">
        <f t="shared" ca="1" si="47"/>
        <v>1.9561438252389028E-26</v>
      </c>
      <c r="BI74" s="48">
        <f t="shared" ca="1" si="47"/>
        <v>-3.5383266445380045E-26</v>
      </c>
      <c r="BJ74" s="45">
        <f t="shared" ca="1" si="47"/>
        <v>0</v>
      </c>
      <c r="BK74" s="45">
        <f t="shared" ca="1" si="47"/>
        <v>-1.6207100147051029E-25</v>
      </c>
      <c r="BL74" s="45">
        <f t="shared" ca="1" si="47"/>
        <v>8.5305824765554436E-27</v>
      </c>
      <c r="BM74" s="48">
        <f t="shared" ca="1" si="47"/>
        <v>-4.6996207409374728E-25</v>
      </c>
      <c r="BN74" s="48">
        <f t="shared" ca="1" si="47"/>
        <v>2.4736382187650272E-26</v>
      </c>
    </row>
    <row r="75" spans="1:66" ht="13.8" thickBot="1" x14ac:dyDescent="0.3">
      <c r="T75" s="58"/>
      <c r="U75" s="28"/>
      <c r="V75" s="29" t="s">
        <v>299</v>
      </c>
      <c r="W75" s="36">
        <f ca="1">$BE$58</f>
        <v>80.134225309999792</v>
      </c>
      <c r="X75" s="37">
        <f ca="1">$BE$60</f>
        <v>800803.21111599903</v>
      </c>
      <c r="Y75" s="36">
        <f ca="1">$BE$57</f>
        <v>26.059104465385403</v>
      </c>
      <c r="Z75" s="37">
        <f ca="1">$BE$59</f>
        <v>260332.776075387</v>
      </c>
      <c r="AA75" s="38">
        <f ca="1">D27+(250-O47/2)/2</f>
        <v>121.724</v>
      </c>
      <c r="AB75" s="41">
        <f ca="1">AA75*0.3048</f>
        <v>37.101475200000003</v>
      </c>
      <c r="AX75" s="48">
        <f t="shared" ref="AX75:BN75" ca="1" si="48">((((AX67*1852)/6399598.4)*(COS(AX71)))/2)+AX68</f>
        <v>0.45490124754646732</v>
      </c>
      <c r="AY75" s="48">
        <f t="shared" ca="1" si="48"/>
        <v>0.45480599156920859</v>
      </c>
      <c r="AZ75" s="48">
        <f t="shared" ca="1" si="48"/>
        <v>0.45499889610625799</v>
      </c>
      <c r="BA75" s="48">
        <f t="shared" ca="1" si="48"/>
        <v>0.45499889610625799</v>
      </c>
      <c r="BB75" s="48">
        <f t="shared" ca="1" si="48"/>
        <v>0.45480682785806398</v>
      </c>
      <c r="BC75" s="48">
        <f t="shared" ca="1" si="48"/>
        <v>0.45480682785806398</v>
      </c>
      <c r="BD75" s="45">
        <f t="shared" ca="1" si="48"/>
        <v>0.45480682785806398</v>
      </c>
      <c r="BE75" s="45">
        <f t="shared" ca="1" si="48"/>
        <v>0.45480350963809002</v>
      </c>
      <c r="BF75" s="45">
        <f t="shared" ca="1" si="48"/>
        <v>0.45480518221580085</v>
      </c>
      <c r="BG75" s="48">
        <f t="shared" ca="1" si="48"/>
        <v>0.45480682785806398</v>
      </c>
      <c r="BH75" s="48">
        <f t="shared" ca="1" si="48"/>
        <v>0.45480350963809002</v>
      </c>
      <c r="BI75" s="48">
        <f t="shared" ca="1" si="48"/>
        <v>0.45480518221580085</v>
      </c>
      <c r="BJ75" s="45">
        <f t="shared" ca="1" si="48"/>
        <v>0.45485361955783793</v>
      </c>
      <c r="BK75" s="45">
        <f t="shared" ca="1" si="48"/>
        <v>0.45490286198216101</v>
      </c>
      <c r="BL75" s="45">
        <f t="shared" ca="1" si="48"/>
        <v>0.45490286198216101</v>
      </c>
      <c r="BM75" s="48">
        <f t="shared" ca="1" si="48"/>
        <v>0.45490286198216101</v>
      </c>
      <c r="BN75" s="48">
        <f t="shared" ca="1" si="48"/>
        <v>0.45490286198216101</v>
      </c>
    </row>
    <row r="76" spans="1:66" ht="13.8" thickBot="1" x14ac:dyDescent="0.3">
      <c r="T76" s="58"/>
      <c r="U76" s="28"/>
      <c r="V76" s="29" t="s">
        <v>300</v>
      </c>
      <c r="W76" s="36">
        <f ca="1">$BD$58</f>
        <v>80.134435800000219</v>
      </c>
      <c r="X76" s="37">
        <f ca="1">$BD$60</f>
        <v>800803.96888000099</v>
      </c>
      <c r="Y76" s="36">
        <f ca="1">$BD$57</f>
        <v>26.059104465385403</v>
      </c>
      <c r="Z76" s="37">
        <f ca="1">$BD$59</f>
        <v>260332.776075387</v>
      </c>
      <c r="AA76" s="38">
        <f ca="1">D27+(250-O47/2)/2</f>
        <v>121.724</v>
      </c>
      <c r="AB76" s="41">
        <f ca="1">AA76*0.3048</f>
        <v>37.101475200000003</v>
      </c>
      <c r="AX76" s="48">
        <f t="shared" ref="AX76:BN76" ca="1" si="49">((TAN((AX75-AX68)+AX75))*AX74)*(TAN(AX71))</f>
        <v>0</v>
      </c>
      <c r="AY76" s="48">
        <f t="shared" ca="1" si="49"/>
        <v>0</v>
      </c>
      <c r="AZ76" s="48">
        <f t="shared" ca="1" si="49"/>
        <v>7.0118539015949428E-11</v>
      </c>
      <c r="BA76" s="48">
        <f t="shared" ca="1" si="49"/>
        <v>7.0118539015949415E-11</v>
      </c>
      <c r="BB76" s="48">
        <f t="shared" ca="1" si="49"/>
        <v>1.3387169624044782E-12</v>
      </c>
      <c r="BC76" s="48">
        <f t="shared" ca="1" si="49"/>
        <v>1.3387169624044787E-12</v>
      </c>
      <c r="BD76" s="45">
        <f t="shared" ca="1" si="49"/>
        <v>5.205078911028328E-11</v>
      </c>
      <c r="BE76" s="45">
        <f t="shared" ca="1" si="49"/>
        <v>5.2050353276522686E-11</v>
      </c>
      <c r="BF76" s="45">
        <f t="shared" ca="1" si="49"/>
        <v>5.5905754122982616E-41</v>
      </c>
      <c r="BG76" s="48">
        <f t="shared" ca="1" si="49"/>
        <v>5.2050789110283274E-11</v>
      </c>
      <c r="BH76" s="48">
        <f t="shared" ca="1" si="49"/>
        <v>5.2050353276522686E-11</v>
      </c>
      <c r="BI76" s="48">
        <f t="shared" ca="1" si="49"/>
        <v>5.5905754122982616E-41</v>
      </c>
      <c r="BJ76" s="45">
        <f t="shared" ca="1" si="49"/>
        <v>0</v>
      </c>
      <c r="BK76" s="45">
        <f t="shared" ca="1" si="49"/>
        <v>2.2704446251494631E-11</v>
      </c>
      <c r="BL76" s="45">
        <f t="shared" ca="1" si="49"/>
        <v>2.2704446251494627E-11</v>
      </c>
      <c r="BM76" s="48">
        <f t="shared" ca="1" si="49"/>
        <v>6.583675398244471E-11</v>
      </c>
      <c r="BN76" s="48">
        <f t="shared" ca="1" si="49"/>
        <v>6.583675398244471E-11</v>
      </c>
    </row>
    <row r="77" spans="1:66" ht="13.8" thickBot="1" x14ac:dyDescent="0.3">
      <c r="T77" s="58"/>
      <c r="U77" s="30"/>
      <c r="V77" s="31" t="s">
        <v>293</v>
      </c>
      <c r="W77" s="36">
        <f ca="1">$AZ$58</f>
        <v>80.146619490000091</v>
      </c>
      <c r="X77" s="37">
        <f ca="1">$AZ$60</f>
        <v>800847.83016399993</v>
      </c>
      <c r="Y77" s="36">
        <f ca="1">$AZ$57</f>
        <v>26.059103944026184</v>
      </c>
      <c r="Z77" s="37">
        <f ca="1">$AZ$59</f>
        <v>260332.77419849401</v>
      </c>
      <c r="AA77" s="39">
        <f>$D$27+500</f>
        <v>514</v>
      </c>
      <c r="AB77" s="42">
        <f t="shared" si="34"/>
        <v>156.66720000000001</v>
      </c>
      <c r="AX77" s="48">
        <f t="shared" ref="AX77:BN77" ca="1" si="50">ROUND((((((COS(AX71-(AX74/3)))*AX72)*(SQRT(AX73))*((AX73)))-(AX76/2))+AX68),15)</f>
        <v>0.45499889602100602</v>
      </c>
      <c r="AY77" s="48">
        <f t="shared" ca="1" si="50"/>
        <v>0.45480682783433801</v>
      </c>
      <c r="AZ77" s="48">
        <f t="shared" ca="1" si="50"/>
        <v>0.45499889607119898</v>
      </c>
      <c r="BA77" s="48">
        <f t="shared" ca="1" si="50"/>
        <v>0.45499889607119898</v>
      </c>
      <c r="BB77" s="48">
        <f t="shared" ca="1" si="50"/>
        <v>0.45480682785739501</v>
      </c>
      <c r="BC77" s="48">
        <f t="shared" ca="1" si="50"/>
        <v>0.45480682785739501</v>
      </c>
      <c r="BD77" s="45">
        <f t="shared" ca="1" si="50"/>
        <v>0.45480682783203902</v>
      </c>
      <c r="BE77" s="45">
        <f t="shared" ca="1" si="50"/>
        <v>0.454803509612065</v>
      </c>
      <c r="BF77" s="45">
        <f t="shared" ca="1" si="50"/>
        <v>0.45480350968552002</v>
      </c>
      <c r="BG77" s="48">
        <f t="shared" ca="1" si="50"/>
        <v>0.45480682783203902</v>
      </c>
      <c r="BH77" s="48">
        <f t="shared" ca="1" si="50"/>
        <v>0.454803509612065</v>
      </c>
      <c r="BI77" s="48">
        <f t="shared" ca="1" si="50"/>
        <v>0.45480350968552002</v>
      </c>
      <c r="BJ77" s="45">
        <f t="shared" ca="1" si="50"/>
        <v>0.454902861963973</v>
      </c>
      <c r="BK77" s="45">
        <f t="shared" ca="1" si="50"/>
        <v>0.45490286197080898</v>
      </c>
      <c r="BL77" s="45">
        <f t="shared" ca="1" si="50"/>
        <v>0.45490286197080898</v>
      </c>
      <c r="BM77" s="48">
        <f t="shared" ca="1" si="50"/>
        <v>0.45490286194924301</v>
      </c>
      <c r="BN77" s="48">
        <f t="shared" ca="1" si="50"/>
        <v>0.45490286194924301</v>
      </c>
    </row>
    <row r="78" spans="1:66" ht="13.8" thickBot="1" x14ac:dyDescent="0.3">
      <c r="T78" s="58"/>
      <c r="U78" s="26" t="s">
        <v>301</v>
      </c>
      <c r="V78" s="27" t="s">
        <v>286</v>
      </c>
      <c r="W78" s="36">
        <f ca="1">$BB$58</f>
        <v>80.134435800000219</v>
      </c>
      <c r="X78" s="37">
        <f ca="1">$BB$60</f>
        <v>800803.96888000099</v>
      </c>
      <c r="Y78" s="36">
        <f ca="1">$BB$57</f>
        <v>26.058321611358156</v>
      </c>
      <c r="Z78" s="37">
        <f ca="1">$BB$59</f>
        <v>260329.95780088901</v>
      </c>
      <c r="AA78" s="37">
        <f>$D$27</f>
        <v>14</v>
      </c>
      <c r="AB78" s="40">
        <f t="shared" si="34"/>
        <v>4.2671999999999999</v>
      </c>
      <c r="AX78" s="48">
        <f t="shared" ref="AX78:BN78" ca="1" si="51">ROUND(((AX69-((((SQRT((((COS(AX77))*(COS(AX77)))/148.38)+1))*AX72)*(SIN(AX71-(AX74/6))))/(COS((AX76/6)+AX77))))),15)</f>
        <v>1.39860791215351</v>
      </c>
      <c r="AY78" s="48">
        <f t="shared" ca="1" si="51"/>
        <v>1.39860791215351</v>
      </c>
      <c r="AZ78" s="48">
        <f t="shared" ca="1" si="51"/>
        <v>1.39859462055909</v>
      </c>
      <c r="BA78" s="48">
        <f t="shared" ca="1" si="51"/>
        <v>1.39862120374793</v>
      </c>
      <c r="BB78" s="48">
        <f t="shared" ca="1" si="51"/>
        <v>1.3986097489865601</v>
      </c>
      <c r="BC78" s="48">
        <f t="shared" ca="1" si="51"/>
        <v>1.3986060753204601</v>
      </c>
      <c r="BD78" s="45">
        <f t="shared" ca="1" si="51"/>
        <v>1.39859462184949</v>
      </c>
      <c r="BE78" s="45">
        <f t="shared" ca="1" si="51"/>
        <v>1.3985946218679699</v>
      </c>
      <c r="BF78" s="45">
        <f t="shared" ca="1" si="51"/>
        <v>1.3986060753690099</v>
      </c>
      <c r="BG78" s="48">
        <f t="shared" ca="1" si="51"/>
        <v>1.39862120245754</v>
      </c>
      <c r="BH78" s="48">
        <f t="shared" ca="1" si="51"/>
        <v>1.3986212024390601</v>
      </c>
      <c r="BI78" s="48">
        <f t="shared" ca="1" si="51"/>
        <v>1.39860974893802</v>
      </c>
      <c r="BJ78" s="45">
        <f t="shared" ca="1" si="51"/>
        <v>1.39860791215351</v>
      </c>
      <c r="BK78" s="45">
        <f t="shared" ca="1" si="51"/>
        <v>1.3986003482073801</v>
      </c>
      <c r="BL78" s="45">
        <f t="shared" ca="1" si="51"/>
        <v>1.3986154760996401</v>
      </c>
      <c r="BM78" s="48">
        <f t="shared" ca="1" si="51"/>
        <v>1.39859503181802</v>
      </c>
      <c r="BN78" s="48">
        <f t="shared" ca="1" si="51"/>
        <v>1.398620792489</v>
      </c>
    </row>
    <row r="79" spans="1:66" ht="13.8" thickBot="1" x14ac:dyDescent="0.3">
      <c r="T79" s="58"/>
      <c r="U79" s="28"/>
      <c r="V79" s="29" t="s">
        <v>302</v>
      </c>
      <c r="W79" s="36">
        <f ca="1">$BL$58</f>
        <v>80.140527649999783</v>
      </c>
      <c r="X79" s="37">
        <f ca="1">$BL$60</f>
        <v>800825.89953999897</v>
      </c>
      <c r="Y79" s="36">
        <f ca="1">$BL$57</f>
        <v>26.05802511363957</v>
      </c>
      <c r="Z79" s="37">
        <f ca="1">$BL$59</f>
        <v>260328.89040910199</v>
      </c>
      <c r="AA79" s="38">
        <f>D27+250</f>
        <v>264</v>
      </c>
      <c r="AB79" s="41">
        <f t="shared" si="34"/>
        <v>80.467200000000005</v>
      </c>
      <c r="AX79" s="48">
        <f t="shared" ref="AX79:BN79" ca="1" si="52">ROUND((((((((((SQRT((((COS(AX77))*(COS(AX77)))/148.38)+1))*AX72)*(SIN(AX71-(AX74/6))))/(COS((AX76/6)+AX76)))*(SIN((AX76/3)+AX76)))-(AX74/2))-PI())+AX71)+(PI()+PI())),15)</f>
        <v>3.14159265358979</v>
      </c>
      <c r="AY79" s="48">
        <f t="shared" ca="1" si="52"/>
        <v>3.14159265358979</v>
      </c>
      <c r="AZ79" s="48">
        <f t="shared" ca="1" si="52"/>
        <v>4.7123889803847003</v>
      </c>
      <c r="BA79" s="48">
        <f t="shared" ca="1" si="52"/>
        <v>7.8539816339744801</v>
      </c>
      <c r="BB79" s="48">
        <f t="shared" ca="1" si="52"/>
        <v>7.8539816339744801</v>
      </c>
      <c r="BC79" s="48">
        <f t="shared" ca="1" si="52"/>
        <v>4.7123889803846897</v>
      </c>
      <c r="BD79" s="45">
        <f t="shared" ca="1" si="52"/>
        <v>4.7123889803846897</v>
      </c>
      <c r="BE79" s="45">
        <f t="shared" ca="1" si="52"/>
        <v>4.7123889803846897</v>
      </c>
      <c r="BF79" s="45">
        <f t="shared" ca="1" si="52"/>
        <v>6.28318530717958</v>
      </c>
      <c r="BG79" s="48">
        <f t="shared" ca="1" si="52"/>
        <v>7.8539816339744801</v>
      </c>
      <c r="BH79" s="48">
        <f t="shared" ca="1" si="52"/>
        <v>7.8539816339744801</v>
      </c>
      <c r="BI79" s="48">
        <f t="shared" ca="1" si="52"/>
        <v>6.28318530717958</v>
      </c>
      <c r="BJ79" s="45">
        <f t="shared" ca="1" si="52"/>
        <v>3.14159265358979</v>
      </c>
      <c r="BK79" s="45">
        <f t="shared" ca="1" si="52"/>
        <v>4.7123889803846897</v>
      </c>
      <c r="BL79" s="45">
        <f t="shared" ca="1" si="52"/>
        <v>7.8539816339744801</v>
      </c>
      <c r="BM79" s="48">
        <f t="shared" ca="1" si="52"/>
        <v>4.7123889803846897</v>
      </c>
      <c r="BN79" s="48">
        <f t="shared" ca="1" si="52"/>
        <v>7.8539816339744801</v>
      </c>
    </row>
    <row r="80" spans="1:66" ht="13.8" thickBot="1" x14ac:dyDescent="0.3">
      <c r="T80" s="58"/>
      <c r="U80" s="30"/>
      <c r="V80" s="31" t="s">
        <v>301</v>
      </c>
      <c r="W80" s="36">
        <f ca="1">$BN$58</f>
        <v>80.140527649999783</v>
      </c>
      <c r="X80" s="37">
        <f ca="1">$BN$60</f>
        <v>800825.89953999897</v>
      </c>
      <c r="Y80" s="36">
        <f ca="1">$BN$57</f>
        <v>26.057749995996147</v>
      </c>
      <c r="Z80" s="37">
        <f ca="1">$BN$59</f>
        <v>260327.89998558597</v>
      </c>
      <c r="AA80" s="39">
        <f>D27+250</f>
        <v>264</v>
      </c>
      <c r="AB80" s="42">
        <f t="shared" si="34"/>
        <v>80.467200000000005</v>
      </c>
      <c r="AX80" s="48">
        <f t="shared" ref="AX80:BN80" ca="1" si="53">(AX77*(180/PI()))</f>
        <v>26.069516425115431</v>
      </c>
      <c r="AY80" s="48">
        <f t="shared" ca="1" si="53"/>
        <v>26.058511728640624</v>
      </c>
      <c r="AZ80" s="48">
        <f t="shared" ca="1" si="53"/>
        <v>26.069516427991275</v>
      </c>
      <c r="BA80" s="48">
        <f t="shared" ca="1" si="53"/>
        <v>26.069516427991275</v>
      </c>
      <c r="BB80" s="48">
        <f t="shared" ca="1" si="53"/>
        <v>26.05851172996169</v>
      </c>
      <c r="BC80" s="48">
        <f t="shared" ca="1" si="53"/>
        <v>26.05851172996169</v>
      </c>
      <c r="BD80" s="45">
        <f t="shared" ca="1" si="53"/>
        <v>26.058511728508901</v>
      </c>
      <c r="BE80" s="45">
        <f t="shared" ca="1" si="53"/>
        <v>26.058321608508894</v>
      </c>
      <c r="BF80" s="45">
        <f t="shared" ca="1" si="53"/>
        <v>26.058321612717556</v>
      </c>
      <c r="BG80" s="48">
        <f t="shared" ca="1" si="53"/>
        <v>26.058511728508901</v>
      </c>
      <c r="BH80" s="48">
        <f t="shared" ca="1" si="53"/>
        <v>26.058321608508894</v>
      </c>
      <c r="BI80" s="48">
        <f t="shared" ca="1" si="53"/>
        <v>26.058321612717556</v>
      </c>
      <c r="BJ80" s="45">
        <f t="shared" ca="1" si="53"/>
        <v>26.064014078957921</v>
      </c>
      <c r="BK80" s="45">
        <f t="shared" ca="1" si="53"/>
        <v>26.064014079349594</v>
      </c>
      <c r="BL80" s="45">
        <f t="shared" ca="1" si="53"/>
        <v>26.064014079349594</v>
      </c>
      <c r="BM80" s="48">
        <f t="shared" ca="1" si="53"/>
        <v>26.064014078113953</v>
      </c>
      <c r="BN80" s="48">
        <f t="shared" ca="1" si="53"/>
        <v>26.064014078113953</v>
      </c>
    </row>
    <row r="81" spans="20:66" ht="13.8" thickBot="1" x14ac:dyDescent="0.3">
      <c r="T81" s="58"/>
      <c r="U81" s="26" t="s">
        <v>303</v>
      </c>
      <c r="V81" s="27" t="s">
        <v>290</v>
      </c>
      <c r="W81" s="36">
        <f ca="1">$BC$58</f>
        <v>80.134435800000219</v>
      </c>
      <c r="X81" s="37">
        <f ca="1">$BC$60</f>
        <v>800803.96888000099</v>
      </c>
      <c r="Y81" s="36">
        <f ca="1">$BC$57</f>
        <v>26.058511728640624</v>
      </c>
      <c r="Z81" s="37">
        <f ca="1">$BC$59</f>
        <v>260330.642223106</v>
      </c>
      <c r="AA81" s="37">
        <f>$D$27</f>
        <v>14</v>
      </c>
      <c r="AB81" s="40">
        <f t="shared" si="34"/>
        <v>4.2671999999999999</v>
      </c>
      <c r="AX81" s="48">
        <f t="shared" ref="AX81:BN81" ca="1" si="54">(AX78*(180/PI()))</f>
        <v>80.134330559999924</v>
      </c>
      <c r="AY81" s="48">
        <f t="shared" ca="1" si="54"/>
        <v>80.134330559999924</v>
      </c>
      <c r="AZ81" s="48">
        <f t="shared" ca="1" si="54"/>
        <v>80.133569007736654</v>
      </c>
      <c r="BA81" s="48">
        <f t="shared" ca="1" si="54"/>
        <v>80.13509211226318</v>
      </c>
      <c r="BB81" s="48">
        <f t="shared" ca="1" si="54"/>
        <v>80.134435802781354</v>
      </c>
      <c r="BC81" s="48">
        <f t="shared" ca="1" si="54"/>
        <v>80.134225317218494</v>
      </c>
      <c r="BD81" s="45">
        <f t="shared" ca="1" si="54"/>
        <v>80.133569081671126</v>
      </c>
      <c r="BE81" s="45">
        <f t="shared" ca="1" si="54"/>
        <v>80.133569082729949</v>
      </c>
      <c r="BF81" s="45">
        <f t="shared" ca="1" si="54"/>
        <v>80.134225320000198</v>
      </c>
      <c r="BG81" s="48">
        <f t="shared" ca="1" si="54"/>
        <v>80.135092038329276</v>
      </c>
      <c r="BH81" s="48">
        <f t="shared" ca="1" si="54"/>
        <v>80.135092037270468</v>
      </c>
      <c r="BI81" s="48">
        <f t="shared" ca="1" si="54"/>
        <v>80.134435800000219</v>
      </c>
      <c r="BJ81" s="45">
        <f t="shared" ca="1" si="54"/>
        <v>80.134330559999924</v>
      </c>
      <c r="BK81" s="45">
        <f t="shared" ca="1" si="54"/>
        <v>80.133897177810212</v>
      </c>
      <c r="BL81" s="45">
        <f t="shared" ca="1" si="54"/>
        <v>80.134763942189636</v>
      </c>
      <c r="BM81" s="48">
        <f t="shared" ca="1" si="54"/>
        <v>80.133592571137626</v>
      </c>
      <c r="BN81" s="48">
        <f t="shared" ca="1" si="54"/>
        <v>80.135068548862208</v>
      </c>
    </row>
    <row r="82" spans="20:66" ht="13.8" thickBot="1" x14ac:dyDescent="0.3">
      <c r="T82" s="58"/>
      <c r="U82" s="28"/>
      <c r="V82" s="29" t="s">
        <v>305</v>
      </c>
      <c r="W82" s="36">
        <f ca="1">$BK$58</f>
        <v>80.140527649999783</v>
      </c>
      <c r="X82" s="37">
        <f ca="1">$BK$60</f>
        <v>800825.89953999897</v>
      </c>
      <c r="Y82" s="36">
        <f ca="1">$BK$57</f>
        <v>26.058807966339447</v>
      </c>
      <c r="Z82" s="37">
        <f ca="1">$BK$59</f>
        <v>260331.70867882197</v>
      </c>
      <c r="AA82" s="38">
        <f>D27+250</f>
        <v>264</v>
      </c>
      <c r="AB82" s="41">
        <f t="shared" si="34"/>
        <v>80.467200000000005</v>
      </c>
      <c r="AX82" s="49">
        <f t="shared" ref="AX82:BN82" ca="1" si="55">(ROUND((((((AX80-(TRUNC(AX80)))*0.6)*100)-(TRUNC(((AX80-(TRUNC(AX80)))*0.6)*100)))*0.006)+(TRUNC(AX80)+((TRUNC(((AX80-(TRUNC(AX80)))*0.6)*100))/100)),15))*10000</f>
        <v>260410.259130416</v>
      </c>
      <c r="AY82" s="49">
        <f t="shared" ca="1" si="55"/>
        <v>260330.642223106</v>
      </c>
      <c r="AZ82" s="49">
        <f t="shared" ca="1" si="55"/>
        <v>260410.25914076902</v>
      </c>
      <c r="BA82" s="49">
        <f t="shared" ca="1" si="55"/>
        <v>260410.25914076902</v>
      </c>
      <c r="BB82" s="49">
        <f t="shared" ca="1" si="55"/>
        <v>260330.642227862</v>
      </c>
      <c r="BC82" s="49">
        <f t="shared" ca="1" si="55"/>
        <v>260330.642227862</v>
      </c>
      <c r="BD82" s="46">
        <f t="shared" ca="1" si="55"/>
        <v>260330.64222263198</v>
      </c>
      <c r="BE82" s="46">
        <f t="shared" ca="1" si="55"/>
        <v>260329.957790632</v>
      </c>
      <c r="BF82" s="46">
        <f t="shared" ca="1" si="55"/>
        <v>260329.95780578299</v>
      </c>
      <c r="BG82" s="49">
        <f t="shared" ca="1" si="55"/>
        <v>260330.64222263198</v>
      </c>
      <c r="BH82" s="49">
        <f t="shared" ca="1" si="55"/>
        <v>260329.957790632</v>
      </c>
      <c r="BI82" s="49">
        <f t="shared" ca="1" si="55"/>
        <v>260329.95780578299</v>
      </c>
      <c r="BJ82" s="46">
        <f t="shared" ca="1" si="55"/>
        <v>260350.45068424899</v>
      </c>
      <c r="BK82" s="46">
        <f t="shared" ca="1" si="55"/>
        <v>260350.45068565899</v>
      </c>
      <c r="BL82" s="46">
        <f t="shared" ca="1" si="55"/>
        <v>260350.45068565899</v>
      </c>
      <c r="BM82" s="49">
        <f t="shared" ca="1" si="55"/>
        <v>260350.45068121</v>
      </c>
      <c r="BN82" s="49">
        <f t="shared" ca="1" si="55"/>
        <v>260350.45068121</v>
      </c>
    </row>
    <row r="83" spans="20:66" ht="13.8" thickBot="1" x14ac:dyDescent="0.3">
      <c r="T83" s="59"/>
      <c r="U83" s="30"/>
      <c r="V83" s="31" t="s">
        <v>303</v>
      </c>
      <c r="W83" s="36">
        <f ca="1">$BM$58</f>
        <v>80.140527649999783</v>
      </c>
      <c r="X83" s="37">
        <f ca="1">$BM$60</f>
        <v>800825.89953999897</v>
      </c>
      <c r="Y83" s="36">
        <f ca="1">$BM$57</f>
        <v>26.059083083942873</v>
      </c>
      <c r="Z83" s="37">
        <f ca="1">$BM$59</f>
        <v>260332.69910219399</v>
      </c>
      <c r="AA83" s="39">
        <f>D27+250</f>
        <v>264</v>
      </c>
      <c r="AB83" s="42">
        <f t="shared" si="34"/>
        <v>80.467200000000005</v>
      </c>
      <c r="AX83" s="49">
        <f t="shared" ref="AX83:BN83" ca="1" si="56">(ROUND((((((AX81-(TRUNC(AX81)))*0.6)*100)-(TRUNC(((AX81-(TRUNC(AX81)))*0.6)*100)))*0.006)+(TRUNC(AX81)+((TRUNC(((AX81-(TRUNC(AX81)))*0.6)*100))/100)),15))*10000</f>
        <v>800803.59001599997</v>
      </c>
      <c r="AY83" s="49">
        <f t="shared" ca="1" si="56"/>
        <v>800803.59001599997</v>
      </c>
      <c r="AZ83" s="49">
        <f t="shared" ca="1" si="56"/>
        <v>800800.84842785192</v>
      </c>
      <c r="BA83" s="49">
        <f t="shared" ca="1" si="56"/>
        <v>800806.3316041471</v>
      </c>
      <c r="BB83" s="49">
        <f t="shared" ca="1" si="56"/>
        <v>800803.96889001306</v>
      </c>
      <c r="BC83" s="49">
        <f t="shared" ca="1" si="56"/>
        <v>800803.21114198701</v>
      </c>
      <c r="BD83" s="46">
        <f t="shared" ca="1" si="56"/>
        <v>800800.84869401599</v>
      </c>
      <c r="BE83" s="46">
        <f t="shared" ca="1" si="56"/>
        <v>800800.8486978279</v>
      </c>
      <c r="BF83" s="46">
        <f t="shared" ca="1" si="56"/>
        <v>800803.21115200105</v>
      </c>
      <c r="BG83" s="49">
        <f t="shared" ca="1" si="56"/>
        <v>800806.331337985</v>
      </c>
      <c r="BH83" s="49">
        <f t="shared" ca="1" si="56"/>
        <v>800806.33133417391</v>
      </c>
      <c r="BI83" s="49">
        <f t="shared" ca="1" si="56"/>
        <v>800803.96888000099</v>
      </c>
      <c r="BJ83" s="46">
        <f t="shared" ca="1" si="56"/>
        <v>800803.59001599997</v>
      </c>
      <c r="BK83" s="46">
        <f t="shared" ca="1" si="56"/>
        <v>800802.02984011709</v>
      </c>
      <c r="BL83" s="46">
        <f t="shared" ca="1" si="56"/>
        <v>800805.15019188297</v>
      </c>
      <c r="BM83" s="49">
        <f t="shared" ca="1" si="56"/>
        <v>800800.93325609493</v>
      </c>
      <c r="BN83" s="49">
        <f t="shared" ca="1" si="56"/>
        <v>800806.24677590397</v>
      </c>
    </row>
    <row r="84" spans="20:66" ht="13.8" thickBot="1" x14ac:dyDescent="0.3">
      <c r="T84" s="60" t="s">
        <v>322</v>
      </c>
      <c r="U84" t="s">
        <v>325</v>
      </c>
      <c r="V84" s="53" t="s">
        <v>326</v>
      </c>
      <c r="W84" s="36">
        <f ca="1">$AX$81</f>
        <v>80.134330559999924</v>
      </c>
      <c r="X84" s="37">
        <f ca="1">$AX$83</f>
        <v>800803.59001599997</v>
      </c>
      <c r="Y84" s="36">
        <f ca="1">$AX$80</f>
        <v>26.069516425115431</v>
      </c>
      <c r="Z84" s="37">
        <f ca="1">$AX$82</f>
        <v>260410.259130416</v>
      </c>
      <c r="AA84" s="39">
        <f>D63+500</f>
        <v>500</v>
      </c>
      <c r="AB84" s="42">
        <f t="shared" si="34"/>
        <v>152.4</v>
      </c>
    </row>
    <row r="85" spans="20:66" ht="13.8" thickBot="1" x14ac:dyDescent="0.3">
      <c r="T85" s="58" t="s">
        <v>324</v>
      </c>
      <c r="U85" s="26" t="s">
        <v>285</v>
      </c>
      <c r="V85" s="27" t="s">
        <v>286</v>
      </c>
      <c r="W85" s="36">
        <f ca="1">$BB$81</f>
        <v>80.134435802781354</v>
      </c>
      <c r="X85" s="37">
        <f ca="1">$BB$83</f>
        <v>800803.96889001306</v>
      </c>
      <c r="Y85" s="36">
        <f ca="1">$BB$80</f>
        <v>26.05851172996169</v>
      </c>
      <c r="Z85" s="37">
        <f ca="1">$BB$82</f>
        <v>260330.642227862</v>
      </c>
      <c r="AA85" s="37">
        <f>$D$27</f>
        <v>14</v>
      </c>
      <c r="AB85" s="40">
        <f t="shared" si="34"/>
        <v>4.2671999999999999</v>
      </c>
      <c r="AX85" s="47" t="s">
        <v>449</v>
      </c>
      <c r="AY85" s="47" t="str">
        <f>"Circle 4000 "&amp;AY89</f>
        <v>Circle 4000 30</v>
      </c>
      <c r="AZ85" s="47" t="str">
        <f t="shared" ref="AZ85:BI85" si="57">"Circle 4000 "&amp;AZ89</f>
        <v>Circle 4000 60</v>
      </c>
      <c r="BA85" s="47" t="str">
        <f t="shared" si="57"/>
        <v>Circle 4000 90</v>
      </c>
      <c r="BB85" s="47" t="str">
        <f t="shared" si="57"/>
        <v>Circle 4000 120</v>
      </c>
      <c r="BC85" s="47" t="str">
        <f t="shared" si="57"/>
        <v>Circle 4000 150</v>
      </c>
      <c r="BD85" s="47" t="str">
        <f t="shared" si="57"/>
        <v>Circle 4000 180</v>
      </c>
      <c r="BE85" s="47" t="str">
        <f t="shared" si="57"/>
        <v>Circle 4000 210</v>
      </c>
      <c r="BF85" s="47" t="str">
        <f t="shared" si="57"/>
        <v>Circle 4000 240</v>
      </c>
      <c r="BG85" s="47" t="str">
        <f t="shared" si="57"/>
        <v>Circle 4000 270</v>
      </c>
      <c r="BH85" s="47" t="str">
        <f t="shared" si="57"/>
        <v>Circle 4000 300</v>
      </c>
      <c r="BI85" s="47" t="str">
        <f t="shared" si="57"/>
        <v>Circle 4000 330</v>
      </c>
    </row>
    <row r="86" spans="20:66" ht="13.8" thickBot="1" x14ac:dyDescent="0.3">
      <c r="T86" s="58"/>
      <c r="U86" s="28"/>
      <c r="V86" s="29" t="s">
        <v>290</v>
      </c>
      <c r="W86" s="36">
        <f ca="1">$BC$81</f>
        <v>80.134225317218494</v>
      </c>
      <c r="X86" s="37">
        <f ca="1">$BC$83</f>
        <v>800803.21114198701</v>
      </c>
      <c r="Y86" s="36">
        <f ca="1">$BC$80</f>
        <v>26.05851172996169</v>
      </c>
      <c r="Z86" s="37">
        <f ca="1">$BC$82</f>
        <v>260330.642227862</v>
      </c>
      <c r="AA86" s="37">
        <f>$D$27</f>
        <v>14</v>
      </c>
      <c r="AB86" s="41">
        <f t="shared" si="34"/>
        <v>4.2671999999999999</v>
      </c>
      <c r="AX86" s="48">
        <f t="shared" ref="AX86:BI86" ca="1" si="58">$O$47/2+4000</f>
        <v>4034.5520000000001</v>
      </c>
      <c r="AY86" s="48">
        <f t="shared" ca="1" si="58"/>
        <v>4034.5520000000001</v>
      </c>
      <c r="AZ86" s="48">
        <f t="shared" ca="1" si="58"/>
        <v>4034.5520000000001</v>
      </c>
      <c r="BA86" s="48">
        <f t="shared" ca="1" si="58"/>
        <v>4034.5520000000001</v>
      </c>
      <c r="BB86" s="48">
        <f t="shared" ca="1" si="58"/>
        <v>4034.5520000000001</v>
      </c>
      <c r="BC86" s="48">
        <f t="shared" ca="1" si="58"/>
        <v>4034.5520000000001</v>
      </c>
      <c r="BD86" s="48">
        <f t="shared" ca="1" si="58"/>
        <v>4034.5520000000001</v>
      </c>
      <c r="BE86" s="48">
        <f t="shared" ca="1" si="58"/>
        <v>4034.5520000000001</v>
      </c>
      <c r="BF86" s="48">
        <f t="shared" ca="1" si="58"/>
        <v>4034.5520000000001</v>
      </c>
      <c r="BG86" s="48">
        <f t="shared" ca="1" si="58"/>
        <v>4034.5520000000001</v>
      </c>
      <c r="BH86" s="48">
        <f t="shared" ca="1" si="58"/>
        <v>4034.5520000000001</v>
      </c>
      <c r="BI86" s="48">
        <f t="shared" ca="1" si="58"/>
        <v>4034.5520000000001</v>
      </c>
    </row>
    <row r="87" spans="20:66" ht="13.8" thickBot="1" x14ac:dyDescent="0.3">
      <c r="T87" s="58"/>
      <c r="U87" s="28"/>
      <c r="V87" s="29" t="s">
        <v>293</v>
      </c>
      <c r="W87" s="36">
        <f ca="1">$AZ$81</f>
        <v>80.133569007736654</v>
      </c>
      <c r="X87" s="37">
        <f ca="1">$AZ$83</f>
        <v>800800.84842785192</v>
      </c>
      <c r="Y87" s="36">
        <f ca="1">$AZ$80</f>
        <v>26.069516427991275</v>
      </c>
      <c r="Z87" s="37">
        <f ca="1">$AZ$82</f>
        <v>260410.25914076902</v>
      </c>
      <c r="AA87" s="38">
        <f>$D$27+500</f>
        <v>514</v>
      </c>
      <c r="AB87" s="41">
        <f t="shared" si="34"/>
        <v>156.66720000000001</v>
      </c>
      <c r="AX87" s="48">
        <f t="shared" ref="AX87:BI87" si="59">$D$25</f>
        <v>260330.3</v>
      </c>
      <c r="AY87" s="48">
        <f t="shared" si="59"/>
        <v>260330.3</v>
      </c>
      <c r="AZ87" s="48">
        <f t="shared" si="59"/>
        <v>260330.3</v>
      </c>
      <c r="BA87" s="48">
        <f t="shared" si="59"/>
        <v>260330.3</v>
      </c>
      <c r="BB87" s="48">
        <f t="shared" si="59"/>
        <v>260330.3</v>
      </c>
      <c r="BC87" s="48">
        <f t="shared" si="59"/>
        <v>260330.3</v>
      </c>
      <c r="BD87" s="48">
        <f t="shared" si="59"/>
        <v>260330.3</v>
      </c>
      <c r="BE87" s="48">
        <f t="shared" si="59"/>
        <v>260330.3</v>
      </c>
      <c r="BF87" s="48">
        <f t="shared" si="59"/>
        <v>260330.3</v>
      </c>
      <c r="BG87" s="48">
        <f t="shared" si="59"/>
        <v>260330.3</v>
      </c>
      <c r="BH87" s="48">
        <f t="shared" si="59"/>
        <v>260330.3</v>
      </c>
      <c r="BI87" s="48">
        <f t="shared" si="59"/>
        <v>260330.3</v>
      </c>
    </row>
    <row r="88" spans="20:66" ht="13.8" thickBot="1" x14ac:dyDescent="0.3">
      <c r="T88" s="58"/>
      <c r="U88" s="30"/>
      <c r="V88" s="31" t="s">
        <v>292</v>
      </c>
      <c r="W88" s="36">
        <f ca="1">$BA$81</f>
        <v>80.13509211226318</v>
      </c>
      <c r="X88" s="37">
        <f ca="1">$BA$83</f>
        <v>800806.3316041471</v>
      </c>
      <c r="Y88" s="36">
        <f ca="1">$BA$80</f>
        <v>26.069516427991275</v>
      </c>
      <c r="Z88" s="37">
        <f ca="1">$BA$82</f>
        <v>260410.25914076902</v>
      </c>
      <c r="AA88" s="38">
        <f>$D$27+500</f>
        <v>514</v>
      </c>
      <c r="AB88" s="42">
        <f t="shared" ref="AB88:AB104" si="60">AA88*0.3048</f>
        <v>156.66720000000001</v>
      </c>
      <c r="AX88" s="48">
        <f t="shared" ref="AX88:BI88" si="61">$D$26</f>
        <v>800803.59</v>
      </c>
      <c r="AY88" s="48">
        <f t="shared" si="61"/>
        <v>800803.59</v>
      </c>
      <c r="AZ88" s="48">
        <f t="shared" si="61"/>
        <v>800803.59</v>
      </c>
      <c r="BA88" s="48">
        <f t="shared" si="61"/>
        <v>800803.59</v>
      </c>
      <c r="BB88" s="48">
        <f t="shared" si="61"/>
        <v>800803.59</v>
      </c>
      <c r="BC88" s="48">
        <f t="shared" si="61"/>
        <v>800803.59</v>
      </c>
      <c r="BD88" s="48">
        <f t="shared" si="61"/>
        <v>800803.59</v>
      </c>
      <c r="BE88" s="48">
        <f t="shared" si="61"/>
        <v>800803.59</v>
      </c>
      <c r="BF88" s="48">
        <f t="shared" si="61"/>
        <v>800803.59</v>
      </c>
      <c r="BG88" s="48">
        <f t="shared" si="61"/>
        <v>800803.59</v>
      </c>
      <c r="BH88" s="48">
        <f t="shared" si="61"/>
        <v>800803.59</v>
      </c>
      <c r="BI88" s="48">
        <f t="shared" si="61"/>
        <v>800803.59</v>
      </c>
    </row>
    <row r="89" spans="20:66" ht="13.8" thickBot="1" x14ac:dyDescent="0.3">
      <c r="T89" s="58"/>
      <c r="U89" s="26" t="s">
        <v>445</v>
      </c>
      <c r="V89" s="27" t="s">
        <v>286</v>
      </c>
      <c r="W89" s="36">
        <f ca="1">$BB$81</f>
        <v>80.134435802781354</v>
      </c>
      <c r="X89" s="37">
        <f ca="1">$BB$83</f>
        <v>800803.96889001306</v>
      </c>
      <c r="Y89" s="36">
        <f ca="1">$BB$80</f>
        <v>26.05851172996169</v>
      </c>
      <c r="Z89" s="37">
        <f ca="1">$BB$82</f>
        <v>260330.642227862</v>
      </c>
      <c r="AA89" s="37">
        <f>$D$27</f>
        <v>14</v>
      </c>
      <c r="AB89" s="40">
        <f t="shared" si="60"/>
        <v>4.2671999999999999</v>
      </c>
      <c r="AX89" s="48">
        <v>0</v>
      </c>
      <c r="AY89" s="48">
        <v>30</v>
      </c>
      <c r="AZ89" s="48">
        <v>60</v>
      </c>
      <c r="BA89" s="48">
        <v>90</v>
      </c>
      <c r="BB89" s="48">
        <v>120</v>
      </c>
      <c r="BC89" s="48">
        <v>150</v>
      </c>
      <c r="BD89" s="48">
        <v>180</v>
      </c>
      <c r="BE89" s="48">
        <v>210</v>
      </c>
      <c r="BF89" s="48">
        <v>240</v>
      </c>
      <c r="BG89" s="48">
        <v>270</v>
      </c>
      <c r="BH89" s="48">
        <v>300</v>
      </c>
      <c r="BI89" s="48">
        <v>330</v>
      </c>
    </row>
    <row r="90" spans="20:66" ht="13.8" thickBot="1" x14ac:dyDescent="0.3">
      <c r="T90" s="58"/>
      <c r="U90" s="28"/>
      <c r="V90" s="29" t="s">
        <v>295</v>
      </c>
      <c r="W90" s="36">
        <f ca="1">$BI$81</f>
        <v>80.134435800000219</v>
      </c>
      <c r="X90" s="37">
        <f ca="1">$BI$83</f>
        <v>800803.96888000099</v>
      </c>
      <c r="Y90" s="36">
        <f ca="1">$BI$80</f>
        <v>26.058321612717556</v>
      </c>
      <c r="Z90" s="37">
        <f ca="1">$BI$82</f>
        <v>260329.95780578299</v>
      </c>
      <c r="AA90" s="37">
        <f>$D$27</f>
        <v>14</v>
      </c>
      <c r="AB90" s="41">
        <f t="shared" si="60"/>
        <v>4.2671999999999999</v>
      </c>
      <c r="AX90" s="48">
        <f t="shared" ref="AX90:BI90" ca="1" si="62">ROUND((AX86/6076.115489),15)</f>
        <v>0.66400186225953395</v>
      </c>
      <c r="AY90" s="48">
        <f t="shared" ca="1" si="62"/>
        <v>0.66400186225953395</v>
      </c>
      <c r="AZ90" s="48">
        <f t="shared" ca="1" si="62"/>
        <v>0.66400186225953395</v>
      </c>
      <c r="BA90" s="48">
        <f t="shared" ca="1" si="62"/>
        <v>0.66400186225953395</v>
      </c>
      <c r="BB90" s="48">
        <f t="shared" ca="1" si="62"/>
        <v>0.66400186225953395</v>
      </c>
      <c r="BC90" s="48">
        <f t="shared" ca="1" si="62"/>
        <v>0.66400186225953395</v>
      </c>
      <c r="BD90" s="48">
        <f t="shared" ca="1" si="62"/>
        <v>0.66400186225953395</v>
      </c>
      <c r="BE90" s="48">
        <f t="shared" ca="1" si="62"/>
        <v>0.66400186225953395</v>
      </c>
      <c r="BF90" s="48">
        <f t="shared" ca="1" si="62"/>
        <v>0.66400186225953395</v>
      </c>
      <c r="BG90" s="48">
        <f t="shared" ca="1" si="62"/>
        <v>0.66400186225953395</v>
      </c>
      <c r="BH90" s="48">
        <f t="shared" ca="1" si="62"/>
        <v>0.66400186225953395</v>
      </c>
      <c r="BI90" s="48">
        <f t="shared" ca="1" si="62"/>
        <v>0.66400186225953395</v>
      </c>
    </row>
    <row r="91" spans="20:66" ht="13.8" thickBot="1" x14ac:dyDescent="0.3">
      <c r="T91" s="58"/>
      <c r="U91" s="28"/>
      <c r="V91" s="29" t="s">
        <v>296</v>
      </c>
      <c r="W91" s="36">
        <f ca="1">$BH$81</f>
        <v>80.135092037270468</v>
      </c>
      <c r="X91" s="37">
        <f ca="1">$BH$83</f>
        <v>800806.33133417391</v>
      </c>
      <c r="Y91" s="36">
        <f ca="1">$BH$80</f>
        <v>26.058321608508894</v>
      </c>
      <c r="Z91" s="37">
        <f ca="1">$BH$82</f>
        <v>260329.957790632</v>
      </c>
      <c r="AA91" s="38">
        <f ca="1">D27+(250-O47/2)/2</f>
        <v>121.724</v>
      </c>
      <c r="AB91" s="41">
        <f ca="1">AA91*0.3048</f>
        <v>37.101475200000003</v>
      </c>
      <c r="AX91" s="48">
        <f>ROUND((((ROUND(((((((AX87)-((TRUNC(AX87/100))*100))/60)+(TRUNC(AX87/100))-((TRUNC(AX87/10000))*100))/60)+((TRUNC(AX87/10000))))*1000000,2))/1000000)*(PI()/180)),15)</f>
        <v>0.45480516874807703</v>
      </c>
      <c r="AY91" s="48">
        <f t="shared" ref="AY91:BI91" si="63">ROUND((((ROUND(((((((AY87)-((TRUNC(AY87/100))*100))/60)+(TRUNC(AY87/100))-((TRUNC(AY87/10000))*100))/60)+((TRUNC(AY87/10000))))*1000000,2))/1000000)*(PI()/180)),15)</f>
        <v>0.45480516874807703</v>
      </c>
      <c r="AZ91" s="48">
        <f t="shared" si="63"/>
        <v>0.45480516874807703</v>
      </c>
      <c r="BA91" s="48">
        <f t="shared" si="63"/>
        <v>0.45480516874807703</v>
      </c>
      <c r="BB91" s="48">
        <f t="shared" si="63"/>
        <v>0.45480516874807703</v>
      </c>
      <c r="BC91" s="48">
        <f t="shared" si="63"/>
        <v>0.45480516874807703</v>
      </c>
      <c r="BD91" s="48">
        <f t="shared" si="63"/>
        <v>0.45480516874807703</v>
      </c>
      <c r="BE91" s="48">
        <f t="shared" si="63"/>
        <v>0.45480516874807703</v>
      </c>
      <c r="BF91" s="48">
        <f t="shared" si="63"/>
        <v>0.45480516874807703</v>
      </c>
      <c r="BG91" s="48">
        <f t="shared" si="63"/>
        <v>0.45480516874807703</v>
      </c>
      <c r="BH91" s="48">
        <f t="shared" si="63"/>
        <v>0.45480516874807703</v>
      </c>
      <c r="BI91" s="48">
        <f t="shared" si="63"/>
        <v>0.45480516874807703</v>
      </c>
    </row>
    <row r="92" spans="20:66" ht="13.8" thickBot="1" x14ac:dyDescent="0.3">
      <c r="T92" s="58"/>
      <c r="U92" s="28"/>
      <c r="V92" s="29" t="s">
        <v>297</v>
      </c>
      <c r="W92" s="36">
        <f ca="1">$BG$81</f>
        <v>80.135092038329276</v>
      </c>
      <c r="X92" s="37">
        <f ca="1">$BG$83</f>
        <v>800806.331337985</v>
      </c>
      <c r="Y92" s="36">
        <f ca="1">$BG$80</f>
        <v>26.058511728508901</v>
      </c>
      <c r="Z92" s="37">
        <f ca="1">$BG$82</f>
        <v>260330.64222263198</v>
      </c>
      <c r="AA92" s="38">
        <f ca="1">D27+(250-O47/2)/2</f>
        <v>121.724</v>
      </c>
      <c r="AB92" s="41">
        <f ca="1">AA92*0.3048</f>
        <v>37.101475200000003</v>
      </c>
      <c r="AX92" s="48">
        <f>ROUND((((ROUND(((((((AX88)-((TRUNC(AX88/100))*100))/60)+(TRUNC(AX88/100))-((TRUNC(AX88/10000))*100))/60)+((TRUNC(AX88/10000))))*1000000,2))/1000000)*(PI()/180)),15)</f>
        <v>1.39860791215351</v>
      </c>
      <c r="AY92" s="48">
        <f t="shared" ref="AY92:BI92" si="64">ROUND((((ROUND(((((((AY88)-((TRUNC(AY88/100))*100))/60)+(TRUNC(AY88/100))-((TRUNC(AY88/10000))*100))/60)+((TRUNC(AY88/10000))))*1000000,2))/1000000)*(PI()/180)),15)</f>
        <v>1.39860791215351</v>
      </c>
      <c r="AZ92" s="48">
        <f t="shared" si="64"/>
        <v>1.39860791215351</v>
      </c>
      <c r="BA92" s="48">
        <f t="shared" si="64"/>
        <v>1.39860791215351</v>
      </c>
      <c r="BB92" s="48">
        <f t="shared" si="64"/>
        <v>1.39860791215351</v>
      </c>
      <c r="BC92" s="48">
        <f t="shared" si="64"/>
        <v>1.39860791215351</v>
      </c>
      <c r="BD92" s="48">
        <f t="shared" si="64"/>
        <v>1.39860791215351</v>
      </c>
      <c r="BE92" s="48">
        <f t="shared" si="64"/>
        <v>1.39860791215351</v>
      </c>
      <c r="BF92" s="48">
        <f t="shared" si="64"/>
        <v>1.39860791215351</v>
      </c>
      <c r="BG92" s="48">
        <f t="shared" si="64"/>
        <v>1.39860791215351</v>
      </c>
      <c r="BH92" s="48">
        <f t="shared" si="64"/>
        <v>1.39860791215351</v>
      </c>
      <c r="BI92" s="48">
        <f t="shared" si="64"/>
        <v>1.39860791215351</v>
      </c>
    </row>
    <row r="93" spans="20:66" ht="13.8" thickBot="1" x14ac:dyDescent="0.3">
      <c r="T93" s="58"/>
      <c r="U93" s="30"/>
      <c r="V93" s="31" t="s">
        <v>292</v>
      </c>
      <c r="W93" s="36">
        <f ca="1">$BA$81</f>
        <v>80.13509211226318</v>
      </c>
      <c r="X93" s="37">
        <f ca="1">$BA$83</f>
        <v>800806.3316041471</v>
      </c>
      <c r="Y93" s="36">
        <f ca="1">$BA$80</f>
        <v>26.069516427991275</v>
      </c>
      <c r="Z93" s="37">
        <f ca="1">$BA$82</f>
        <v>260410.25914076902</v>
      </c>
      <c r="AA93" s="39">
        <f>$D$27+500</f>
        <v>514</v>
      </c>
      <c r="AB93" s="42">
        <f t="shared" si="60"/>
        <v>156.66720000000001</v>
      </c>
      <c r="AX93" s="48">
        <f>ROUND((((((AX89-(TRUNC(AX89)))*0.6)*100)-(TRUNC(((AX89-(TRUNC(AX89)))*0.6)*100)))*0.006)+(TRUNC(AX89)+((TRUNC(((AX89-(TRUNC(AX89)))*0.6)*100))/100)),15)</f>
        <v>0</v>
      </c>
      <c r="AY93" s="48">
        <f t="shared" ref="AY93:BI93" si="65">ROUND((((((AY89-(TRUNC(AY89)))*0.6)*100)-(TRUNC(((AY89-(TRUNC(AY89)))*0.6)*100)))*0.006)+(TRUNC(AY89)+((TRUNC(((AY89-(TRUNC(AY89)))*0.6)*100))/100)),15)</f>
        <v>30</v>
      </c>
      <c r="AZ93" s="48">
        <f t="shared" si="65"/>
        <v>60</v>
      </c>
      <c r="BA93" s="48">
        <f t="shared" si="65"/>
        <v>90</v>
      </c>
      <c r="BB93" s="48">
        <f t="shared" si="65"/>
        <v>120</v>
      </c>
      <c r="BC93" s="48">
        <f t="shared" si="65"/>
        <v>150</v>
      </c>
      <c r="BD93" s="48">
        <f t="shared" si="65"/>
        <v>180</v>
      </c>
      <c r="BE93" s="48">
        <f t="shared" si="65"/>
        <v>210</v>
      </c>
      <c r="BF93" s="48">
        <f t="shared" si="65"/>
        <v>240</v>
      </c>
      <c r="BG93" s="48">
        <f t="shared" si="65"/>
        <v>270</v>
      </c>
      <c r="BH93" s="48">
        <f t="shared" si="65"/>
        <v>300</v>
      </c>
      <c r="BI93" s="48">
        <f t="shared" si="65"/>
        <v>330</v>
      </c>
    </row>
    <row r="94" spans="20:66" ht="13.8" thickBot="1" x14ac:dyDescent="0.3">
      <c r="T94" s="58"/>
      <c r="U94" s="26" t="s">
        <v>446</v>
      </c>
      <c r="V94" s="27" t="s">
        <v>290</v>
      </c>
      <c r="W94" s="36">
        <f ca="1">$BC$81</f>
        <v>80.134225317218494</v>
      </c>
      <c r="X94" s="37">
        <f ca="1">$BC$83</f>
        <v>800803.21114198701</v>
      </c>
      <c r="Y94" s="36">
        <f ca="1">$BC$80</f>
        <v>26.05851172996169</v>
      </c>
      <c r="Z94" s="37">
        <f ca="1">$BB$82</f>
        <v>260330.642227862</v>
      </c>
      <c r="AA94" s="37">
        <f>$D$27</f>
        <v>14</v>
      </c>
      <c r="AB94" s="40">
        <f t="shared" si="60"/>
        <v>4.2671999999999999</v>
      </c>
      <c r="AX94" s="48">
        <f>ROUND((AX89*(PI()/180)),15)</f>
        <v>0</v>
      </c>
      <c r="AY94" s="48">
        <f t="shared" ref="AY94:BI94" si="66">ROUND((AY89*(PI()/180)),15)</f>
        <v>0.52359877559829904</v>
      </c>
      <c r="AZ94" s="48">
        <f t="shared" si="66"/>
        <v>1.0471975511966001</v>
      </c>
      <c r="BA94" s="48">
        <f t="shared" si="66"/>
        <v>1.5707963267949001</v>
      </c>
      <c r="BB94" s="48">
        <f t="shared" si="66"/>
        <v>2.0943951023932001</v>
      </c>
      <c r="BC94" s="48">
        <f t="shared" si="66"/>
        <v>2.61799387799149</v>
      </c>
      <c r="BD94" s="48">
        <f t="shared" si="66"/>
        <v>3.14159265358979</v>
      </c>
      <c r="BE94" s="48">
        <f t="shared" si="66"/>
        <v>3.66519142918809</v>
      </c>
      <c r="BF94" s="48">
        <f t="shared" si="66"/>
        <v>4.1887902047863896</v>
      </c>
      <c r="BG94" s="48">
        <f t="shared" si="66"/>
        <v>4.7123889803846897</v>
      </c>
      <c r="BH94" s="48">
        <f t="shared" si="66"/>
        <v>5.2359877559829897</v>
      </c>
      <c r="BI94" s="48">
        <f t="shared" si="66"/>
        <v>5.7595865315812897</v>
      </c>
    </row>
    <row r="95" spans="20:66" ht="13.8" thickBot="1" x14ac:dyDescent="0.3">
      <c r="T95" s="58"/>
      <c r="U95" s="28"/>
      <c r="V95" s="29" t="s">
        <v>298</v>
      </c>
      <c r="W95" s="36">
        <f ca="1">$BF$81</f>
        <v>80.134225320000198</v>
      </c>
      <c r="X95" s="37">
        <f ca="1">$BF$83</f>
        <v>800803.21115200105</v>
      </c>
      <c r="Y95" s="36">
        <f ca="1">$BF$80</f>
        <v>26.058321612717556</v>
      </c>
      <c r="Z95" s="37">
        <f ca="1">$BF$82</f>
        <v>260329.95780578299</v>
      </c>
      <c r="AA95" s="37">
        <f>$D$27</f>
        <v>14</v>
      </c>
      <c r="AB95" s="41">
        <f t="shared" si="60"/>
        <v>4.2671999999999999</v>
      </c>
      <c r="AX95" s="48">
        <f t="shared" ref="AX95:BI95" ca="1" si="67">ROUND(((AX90*1852)/6399598.4),15)</f>
        <v>1.9215759678100001E-4</v>
      </c>
      <c r="AY95" s="48">
        <f t="shared" ca="1" si="67"/>
        <v>1.9215759678100001E-4</v>
      </c>
      <c r="AZ95" s="48">
        <f t="shared" ca="1" si="67"/>
        <v>1.9215759678100001E-4</v>
      </c>
      <c r="BA95" s="48">
        <f t="shared" ca="1" si="67"/>
        <v>1.9215759678100001E-4</v>
      </c>
      <c r="BB95" s="48">
        <f t="shared" ca="1" si="67"/>
        <v>1.9215759678100001E-4</v>
      </c>
      <c r="BC95" s="48">
        <f t="shared" ca="1" si="67"/>
        <v>1.9215759678100001E-4</v>
      </c>
      <c r="BD95" s="48">
        <f t="shared" ca="1" si="67"/>
        <v>1.9215759678100001E-4</v>
      </c>
      <c r="BE95" s="48">
        <f t="shared" ca="1" si="67"/>
        <v>1.9215759678100001E-4</v>
      </c>
      <c r="BF95" s="48">
        <f t="shared" ca="1" si="67"/>
        <v>1.9215759678100001E-4</v>
      </c>
      <c r="BG95" s="48">
        <f t="shared" ca="1" si="67"/>
        <v>1.9215759678100001E-4</v>
      </c>
      <c r="BH95" s="48">
        <f t="shared" ca="1" si="67"/>
        <v>1.9215759678100001E-4</v>
      </c>
      <c r="BI95" s="48">
        <f t="shared" ca="1" si="67"/>
        <v>1.9215759678100001E-4</v>
      </c>
    </row>
    <row r="96" spans="20:66" ht="13.8" thickBot="1" x14ac:dyDescent="0.3">
      <c r="T96" s="58"/>
      <c r="U96" s="28"/>
      <c r="V96" s="29" t="s">
        <v>299</v>
      </c>
      <c r="W96" s="36">
        <f ca="1">$BE$81</f>
        <v>80.133569082729949</v>
      </c>
      <c r="X96" s="37">
        <f ca="1">$BE$83</f>
        <v>800800.8486978279</v>
      </c>
      <c r="Y96" s="36">
        <f ca="1">$BE$80</f>
        <v>26.058321608508894</v>
      </c>
      <c r="Z96" s="37">
        <f ca="1">$BE$82</f>
        <v>260329.957790632</v>
      </c>
      <c r="AA96" s="38">
        <f ca="1">D27+(250-O47/2)/2</f>
        <v>121.724</v>
      </c>
      <c r="AB96" s="41">
        <f ca="1">AA96*0.3048</f>
        <v>37.101475200000003</v>
      </c>
      <c r="AX96" s="48">
        <f t="shared" ref="AX96:BI96" ca="1" si="68">ROUND(((((COS(((((AX90*1852)/6399598.4)*(COS(AX94)))/2)+AX91))*(COS(((((AX90*1852)/6399598.4)*(COS(AX94)))/2)+AX91)))/148.38)+1),15)</f>
        <v>1.0054384070237901</v>
      </c>
      <c r="AY96" s="48">
        <f t="shared" ca="1" si="68"/>
        <v>1.00543847550285</v>
      </c>
      <c r="AZ96" s="48">
        <f t="shared" ca="1" si="68"/>
        <v>1.0054386625841401</v>
      </c>
      <c r="BA96" s="48">
        <f t="shared" ca="1" si="68"/>
        <v>1.00543891812539</v>
      </c>
      <c r="BB96" s="48">
        <f t="shared" ca="1" si="68"/>
        <v>1.0054391736475401</v>
      </c>
      <c r="BC96" s="48">
        <f t="shared" ca="1" si="68"/>
        <v>1.00543936069062</v>
      </c>
      <c r="BD96" s="48">
        <f t="shared" ca="1" si="68"/>
        <v>1.0054394291505799</v>
      </c>
      <c r="BE96" s="48">
        <f t="shared" ca="1" si="68"/>
        <v>1.00543936069062</v>
      </c>
      <c r="BF96" s="48">
        <f t="shared" ca="1" si="68"/>
        <v>1.0054391736475401</v>
      </c>
      <c r="BG96" s="48">
        <f t="shared" ca="1" si="68"/>
        <v>1.00543891812539</v>
      </c>
      <c r="BH96" s="48">
        <f t="shared" ca="1" si="68"/>
        <v>1.0054386625841401</v>
      </c>
      <c r="BI96" s="48">
        <f t="shared" ca="1" si="68"/>
        <v>1.00543847550285</v>
      </c>
    </row>
    <row r="97" spans="20:61" ht="13.8" thickBot="1" x14ac:dyDescent="0.3">
      <c r="T97" s="58"/>
      <c r="U97" s="28"/>
      <c r="V97" s="29" t="s">
        <v>300</v>
      </c>
      <c r="W97" s="36">
        <f ca="1">$BD$81</f>
        <v>80.133569081671126</v>
      </c>
      <c r="X97" s="37">
        <f ca="1">$BD$83</f>
        <v>800800.84869401599</v>
      </c>
      <c r="Y97" s="36">
        <f ca="1">$BD$80</f>
        <v>26.058511728508901</v>
      </c>
      <c r="Z97" s="37">
        <f ca="1">$BD$82</f>
        <v>260330.64222263198</v>
      </c>
      <c r="AA97" s="38">
        <f ca="1">D27+(250-O47/2)/2</f>
        <v>121.724</v>
      </c>
      <c r="AB97" s="41">
        <f ca="1">AA97*0.3048</f>
        <v>37.101475200000003</v>
      </c>
      <c r="AX97" s="48">
        <f t="shared" ref="AX97:BI97" ca="1" si="69">((AX96*AX96)*(AX95*AX95))*(SIN(AX94))*(COS(AX94))</f>
        <v>0</v>
      </c>
      <c r="AY97" s="48">
        <f t="shared" ca="1" si="69"/>
        <v>1.6163177946142314E-8</v>
      </c>
      <c r="AZ97" s="48">
        <f t="shared" ca="1" si="69"/>
        <v>1.6163183961087058E-8</v>
      </c>
      <c r="BA97" s="48">
        <f t="shared" ca="1" si="69"/>
        <v>-1.3032661212485152E-22</v>
      </c>
      <c r="BB97" s="48">
        <f t="shared" ca="1" si="69"/>
        <v>-1.6163200392549708E-8</v>
      </c>
      <c r="BC97" s="48">
        <f t="shared" ca="1" si="69"/>
        <v>-1.6163206406270165E-8</v>
      </c>
      <c r="BD97" s="48">
        <f t="shared" ca="1" si="69"/>
        <v>-1.2060980786601625E-22</v>
      </c>
      <c r="BE97" s="48">
        <f t="shared" ca="1" si="69"/>
        <v>1.6163206406270046E-8</v>
      </c>
      <c r="BF97" s="48">
        <f t="shared" ca="1" si="69"/>
        <v>1.6163200392549652E-8</v>
      </c>
      <c r="BG97" s="48">
        <f t="shared" ca="1" si="69"/>
        <v>6.859721378493412E-24</v>
      </c>
      <c r="BH97" s="48">
        <f t="shared" ca="1" si="69"/>
        <v>-1.6163183961087124E-8</v>
      </c>
      <c r="BI97" s="48">
        <f t="shared" ca="1" si="69"/>
        <v>-1.6163177946142275E-8</v>
      </c>
    </row>
    <row r="98" spans="20:61" ht="13.8" thickBot="1" x14ac:dyDescent="0.3">
      <c r="T98" s="58"/>
      <c r="U98" s="30"/>
      <c r="V98" s="31" t="s">
        <v>293</v>
      </c>
      <c r="W98" s="36">
        <f ca="1">$AZ$81</f>
        <v>80.133569007736654</v>
      </c>
      <c r="X98" s="37">
        <f ca="1">$AZ$83</f>
        <v>800800.84842785192</v>
      </c>
      <c r="Y98" s="36">
        <f ca="1">$AZ$80</f>
        <v>26.069516427991275</v>
      </c>
      <c r="Z98" s="37">
        <f ca="1">$AZ$82</f>
        <v>260410.25914076902</v>
      </c>
      <c r="AA98" s="39">
        <f>$D$27+500</f>
        <v>514</v>
      </c>
      <c r="AB98" s="42">
        <f t="shared" si="60"/>
        <v>156.66720000000001</v>
      </c>
      <c r="AX98" s="48">
        <f t="shared" ref="AX98:BI98" ca="1" si="70">((((AX90*1852)/6399598.4)*(COS(AX94)))/2)+AX91</f>
        <v>0.45490124754646732</v>
      </c>
      <c r="AY98" s="48">
        <f t="shared" ca="1" si="70"/>
        <v>0.45488837542824812</v>
      </c>
      <c r="AZ98" s="48">
        <f t="shared" ca="1" si="70"/>
        <v>0.45485320814727215</v>
      </c>
      <c r="BA98" s="48">
        <f t="shared" ca="1" si="70"/>
        <v>0.45480516874807703</v>
      </c>
      <c r="BB98" s="48">
        <f t="shared" ca="1" si="70"/>
        <v>0.45475712934888191</v>
      </c>
      <c r="BC98" s="48">
        <f t="shared" ca="1" si="70"/>
        <v>0.45472196206790594</v>
      </c>
      <c r="BD98" s="48">
        <f t="shared" ca="1" si="70"/>
        <v>0.45470908994968673</v>
      </c>
      <c r="BE98" s="48">
        <f t="shared" ca="1" si="70"/>
        <v>0.45472196206790594</v>
      </c>
      <c r="BF98" s="48">
        <f t="shared" ca="1" si="70"/>
        <v>0.45475712934888191</v>
      </c>
      <c r="BG98" s="48">
        <f t="shared" ca="1" si="70"/>
        <v>0.45480516874807703</v>
      </c>
      <c r="BH98" s="48">
        <f t="shared" ca="1" si="70"/>
        <v>0.45485320814727215</v>
      </c>
      <c r="BI98" s="48">
        <f t="shared" ca="1" si="70"/>
        <v>0.45488837542824812</v>
      </c>
    </row>
    <row r="99" spans="20:61" ht="13.8" thickBot="1" x14ac:dyDescent="0.3">
      <c r="T99" s="58"/>
      <c r="U99" s="26" t="s">
        <v>301</v>
      </c>
      <c r="V99" s="27" t="s">
        <v>286</v>
      </c>
      <c r="W99" s="36">
        <f ca="1">$BB$81</f>
        <v>80.134435802781354</v>
      </c>
      <c r="X99" s="37">
        <f ca="1">$BB$83</f>
        <v>800803.96889001306</v>
      </c>
      <c r="Y99" s="36">
        <f ca="1">$BB$80</f>
        <v>26.05851172996169</v>
      </c>
      <c r="Z99" s="37">
        <f ca="1">$BB$82</f>
        <v>260330.642227862</v>
      </c>
      <c r="AA99" s="37">
        <f>$D$27</f>
        <v>14</v>
      </c>
      <c r="AB99" s="40">
        <f t="shared" si="60"/>
        <v>4.2671999999999999</v>
      </c>
      <c r="AX99" s="48">
        <f t="shared" ref="AX99:BI99" ca="1" si="71">((TAN((AX98-AX91)+AX98))*AX97)*(TAN(AX94))</f>
        <v>0</v>
      </c>
      <c r="AY99" s="48">
        <f t="shared" ca="1" si="71"/>
        <v>4.565138330100799E-9</v>
      </c>
      <c r="AZ99" s="48">
        <f t="shared" ca="1" si="71"/>
        <v>1.369297989378575E-8</v>
      </c>
      <c r="BA99" s="48">
        <f t="shared" ca="1" si="71"/>
        <v>1.8252871677335706E-8</v>
      </c>
      <c r="BB99" s="48">
        <f t="shared" ca="1" si="71"/>
        <v>1.3686327931488049E-8</v>
      </c>
      <c r="BC99" s="48">
        <f t="shared" ca="1" si="71"/>
        <v>4.5612978178373195E-9</v>
      </c>
      <c r="BD99" s="48">
        <f t="shared" ca="1" si="71"/>
        <v>1.9047216020328866E-37</v>
      </c>
      <c r="BE99" s="48">
        <f t="shared" ca="1" si="71"/>
        <v>4.5612978178372178E-9</v>
      </c>
      <c r="BF99" s="48">
        <f t="shared" ca="1" si="71"/>
        <v>1.3686327931488104E-8</v>
      </c>
      <c r="BG99" s="48">
        <f t="shared" ca="1" si="71"/>
        <v>1.8252871677335706E-8</v>
      </c>
      <c r="BH99" s="48">
        <f t="shared" ca="1" si="71"/>
        <v>1.3692979893785704E-8</v>
      </c>
      <c r="BI99" s="48">
        <f t="shared" ca="1" si="71"/>
        <v>4.5651383301007651E-9</v>
      </c>
    </row>
    <row r="100" spans="20:61" ht="13.8" thickBot="1" x14ac:dyDescent="0.3">
      <c r="T100" s="58"/>
      <c r="U100" s="28"/>
      <c r="V100" s="29" t="s">
        <v>302</v>
      </c>
      <c r="W100" s="36">
        <f ca="1">$BL$81</f>
        <v>80.134763942189636</v>
      </c>
      <c r="X100" s="37">
        <f ca="1">$BL$83</f>
        <v>800805.15019188297</v>
      </c>
      <c r="Y100" s="36">
        <f ca="1">$BL$80</f>
        <v>26.064014079349594</v>
      </c>
      <c r="Z100" s="37">
        <f ca="1">$BL$82</f>
        <v>260350.45068565899</v>
      </c>
      <c r="AA100" s="38">
        <f>D27+250</f>
        <v>264</v>
      </c>
      <c r="AB100" s="41">
        <f t="shared" si="60"/>
        <v>80.467200000000005</v>
      </c>
      <c r="AX100" s="48">
        <f t="shared" ref="AX100:BI100" ca="1" si="72">ROUND((((((COS(AX94-(AX97/3)))*AX95)*(SQRT(AX96))*((AX96)))-(AX99/2))+AX91),15)</f>
        <v>0.45499889602100602</v>
      </c>
      <c r="AY100" s="48">
        <f t="shared" ca="1" si="72"/>
        <v>0.45497293922293203</v>
      </c>
      <c r="AZ100" s="48">
        <f t="shared" ca="1" si="72"/>
        <v>0.45490202557588599</v>
      </c>
      <c r="BA100" s="48">
        <f t="shared" ca="1" si="72"/>
        <v>0.45480515962164098</v>
      </c>
      <c r="BB100" s="48">
        <f t="shared" ca="1" si="72"/>
        <v>0.45470829815676</v>
      </c>
      <c r="BC100" s="48">
        <f t="shared" ca="1" si="72"/>
        <v>0.45463739348844301</v>
      </c>
      <c r="BD100" s="48">
        <f t="shared" ca="1" si="72"/>
        <v>0.45461144117973401</v>
      </c>
      <c r="BE100" s="48">
        <f t="shared" ca="1" si="72"/>
        <v>0.45463739348844301</v>
      </c>
      <c r="BF100" s="48">
        <f t="shared" ca="1" si="72"/>
        <v>0.45470829815676</v>
      </c>
      <c r="BG100" s="48">
        <f t="shared" ca="1" si="72"/>
        <v>0.45480515962164098</v>
      </c>
      <c r="BH100" s="48">
        <f t="shared" ca="1" si="72"/>
        <v>0.45490202557588599</v>
      </c>
      <c r="BI100" s="48">
        <f t="shared" ca="1" si="72"/>
        <v>0.45497293922293203</v>
      </c>
    </row>
    <row r="101" spans="20:61" ht="13.8" thickBot="1" x14ac:dyDescent="0.3">
      <c r="T101" s="58"/>
      <c r="U101" s="30"/>
      <c r="V101" s="31" t="s">
        <v>301</v>
      </c>
      <c r="W101" s="36">
        <f ca="1">$BN$81</f>
        <v>80.135068548862208</v>
      </c>
      <c r="X101" s="37">
        <f ca="1">$BN$83</f>
        <v>800806.24677590397</v>
      </c>
      <c r="Y101" s="36">
        <f ca="1">$BN$80</f>
        <v>26.064014078113953</v>
      </c>
      <c r="Z101" s="37">
        <f ca="1">$BN$82</f>
        <v>260350.45068121</v>
      </c>
      <c r="AA101" s="39">
        <f>D27+250</f>
        <v>264</v>
      </c>
      <c r="AB101" s="42">
        <f t="shared" si="60"/>
        <v>80.467200000000005</v>
      </c>
      <c r="AX101" s="48">
        <f t="shared" ref="AX101:BI101" ca="1" si="73">ROUND(((AX92-((((SQRT((((COS(AX100))*(COS(AX100)))/148.38)+1))*AX95)*(SIN(AX94-(AX97/6))))/(COS((AX99/6)+AX100))))),15)</f>
        <v>1.39860791215351</v>
      </c>
      <c r="AY101" s="48">
        <f t="shared" ca="1" si="73"/>
        <v>1.39850066225082</v>
      </c>
      <c r="AZ101" s="48">
        <f t="shared" ca="1" si="73"/>
        <v>1.398422156281</v>
      </c>
      <c r="BA101" s="48">
        <f t="shared" ca="1" si="73"/>
        <v>1.3983934298530001</v>
      </c>
      <c r="BB101" s="48">
        <f t="shared" ca="1" si="73"/>
        <v>1.39842217378197</v>
      </c>
      <c r="BC101" s="48">
        <f t="shared" ca="1" si="73"/>
        <v>1.39850067975179</v>
      </c>
      <c r="BD101" s="48">
        <f t="shared" ca="1" si="73"/>
        <v>1.39860791215351</v>
      </c>
      <c r="BE101" s="48">
        <f t="shared" ca="1" si="73"/>
        <v>1.3987151445552299</v>
      </c>
      <c r="BF101" s="48">
        <f t="shared" ca="1" si="73"/>
        <v>1.39879365052505</v>
      </c>
      <c r="BG101" s="48">
        <f t="shared" ca="1" si="73"/>
        <v>1.3988223944540199</v>
      </c>
      <c r="BH101" s="48">
        <f t="shared" ca="1" si="73"/>
        <v>1.39879366802602</v>
      </c>
      <c r="BI101" s="48">
        <f t="shared" ca="1" si="73"/>
        <v>1.3987151620561999</v>
      </c>
    </row>
    <row r="102" spans="20:61" ht="13.8" thickBot="1" x14ac:dyDescent="0.3">
      <c r="T102" s="58"/>
      <c r="U102" s="26" t="s">
        <v>303</v>
      </c>
      <c r="V102" s="27" t="s">
        <v>290</v>
      </c>
      <c r="W102" s="36">
        <f ca="1">$BC$81</f>
        <v>80.134225317218494</v>
      </c>
      <c r="X102" s="37">
        <f ca="1">$BC$83</f>
        <v>800803.21114198701</v>
      </c>
      <c r="Y102" s="36">
        <f ca="1">$BC$80</f>
        <v>26.05851172996169</v>
      </c>
      <c r="Z102" s="37">
        <f ca="1">$BC$82</f>
        <v>260330.642227862</v>
      </c>
      <c r="AA102" s="37">
        <f>$D$27</f>
        <v>14</v>
      </c>
      <c r="AB102" s="40">
        <f t="shared" si="60"/>
        <v>4.2671999999999999</v>
      </c>
      <c r="AX102" s="48">
        <f t="shared" ref="AX102:BI102" ca="1" si="74">ROUND((((((((((SQRT((((COS(AX100))*(COS(AX100)))/148.38)+1))*AX95)*(SIN(AX94-(AX97/6))))/(COS((AX99/6)+AX99)))*(SIN((AX99/3)+AX99)))-(AX97/2))-PI())+AX94)+(PI()+PI())),15)</f>
        <v>3.14159265358979</v>
      </c>
      <c r="AY102" s="48">
        <f t="shared" ca="1" si="74"/>
        <v>3.6651914211070902</v>
      </c>
      <c r="AZ102" s="48">
        <f t="shared" ca="1" si="74"/>
        <v>4.18879019670785</v>
      </c>
      <c r="BA102" s="48">
        <f t="shared" ca="1" si="74"/>
        <v>4.7123889803893801</v>
      </c>
      <c r="BB102" s="48">
        <f t="shared" ca="1" si="74"/>
        <v>5.23598776406764</v>
      </c>
      <c r="BC102" s="48">
        <f t="shared" ca="1" si="74"/>
        <v>5.75958653966347</v>
      </c>
      <c r="BD102" s="48">
        <f t="shared" ca="1" si="74"/>
        <v>6.28318530717958</v>
      </c>
      <c r="BE102" s="48">
        <f t="shared" ca="1" si="74"/>
        <v>6.80678407469569</v>
      </c>
      <c r="BF102" s="48">
        <f t="shared" ca="1" si="74"/>
        <v>7.3303828502915396</v>
      </c>
      <c r="BG102" s="48">
        <f t="shared" ca="1" si="74"/>
        <v>7.8539816339697897</v>
      </c>
      <c r="BH102" s="48">
        <f t="shared" ca="1" si="74"/>
        <v>8.3775804176513304</v>
      </c>
      <c r="BI102" s="48">
        <f t="shared" ca="1" si="74"/>
        <v>8.9011791932520907</v>
      </c>
    </row>
    <row r="103" spans="20:61" ht="13.8" thickBot="1" x14ac:dyDescent="0.3">
      <c r="T103" s="58"/>
      <c r="U103" s="28"/>
      <c r="V103" s="29" t="s">
        <v>305</v>
      </c>
      <c r="W103" s="36">
        <f ca="1">$BK$81</f>
        <v>80.133897177810212</v>
      </c>
      <c r="X103" s="37">
        <f ca="1">$BK$83</f>
        <v>800802.02984011709</v>
      </c>
      <c r="Y103" s="36">
        <f ca="1">$BK$80</f>
        <v>26.064014079349594</v>
      </c>
      <c r="Z103" s="37">
        <f ca="1">$BK$82</f>
        <v>260350.45068565899</v>
      </c>
      <c r="AA103" s="38">
        <f>D27+250</f>
        <v>264</v>
      </c>
      <c r="AB103" s="41">
        <f t="shared" si="60"/>
        <v>80.467200000000005</v>
      </c>
      <c r="AX103" s="48">
        <f t="shared" ref="AX103:BI103" ca="1" si="75">(AX100*(180/PI()))</f>
        <v>26.069516425115431</v>
      </c>
      <c r="AY103" s="48">
        <f t="shared" ca="1" si="75"/>
        <v>26.068029210136118</v>
      </c>
      <c r="AZ103" s="48">
        <f t="shared" ca="1" si="75"/>
        <v>26.063966157450501</v>
      </c>
      <c r="BA103" s="48">
        <f t="shared" ca="1" si="75"/>
        <v>26.058416147093752</v>
      </c>
      <c r="BB103" s="48">
        <f t="shared" ca="1" si="75"/>
        <v>26.052866393958617</v>
      </c>
      <c r="BC103" s="48">
        <f t="shared" ca="1" si="75"/>
        <v>26.04880385571628</v>
      </c>
      <c r="BD103" s="48">
        <f t="shared" ca="1" si="75"/>
        <v>26.047316897958634</v>
      </c>
      <c r="BE103" s="48">
        <f t="shared" ca="1" si="75"/>
        <v>26.04880385571628</v>
      </c>
      <c r="BF103" s="48">
        <f t="shared" ca="1" si="75"/>
        <v>26.052866393958617</v>
      </c>
      <c r="BG103" s="48">
        <f t="shared" ca="1" si="75"/>
        <v>26.058416147093752</v>
      </c>
      <c r="BH103" s="48">
        <f t="shared" ca="1" si="75"/>
        <v>26.063966157450501</v>
      </c>
      <c r="BI103" s="48">
        <f t="shared" ca="1" si="75"/>
        <v>26.068029210136118</v>
      </c>
    </row>
    <row r="104" spans="20:61" ht="13.8" thickBot="1" x14ac:dyDescent="0.3">
      <c r="T104" s="59"/>
      <c r="U104" s="30"/>
      <c r="V104" s="31" t="s">
        <v>303</v>
      </c>
      <c r="W104" s="36">
        <f ca="1">$BM$81</f>
        <v>80.133592571137626</v>
      </c>
      <c r="X104" s="37">
        <f ca="1">$BM$83</f>
        <v>800800.93325609493</v>
      </c>
      <c r="Y104" s="36">
        <f ca="1">$BM$80</f>
        <v>26.064014078113953</v>
      </c>
      <c r="Z104" s="37">
        <f ca="1">$BM$82</f>
        <v>260350.45068121</v>
      </c>
      <c r="AA104" s="39">
        <f>D27+250</f>
        <v>264</v>
      </c>
      <c r="AB104" s="42">
        <f t="shared" si="60"/>
        <v>80.467200000000005</v>
      </c>
      <c r="AX104" s="48">
        <f t="shared" ref="AX104:BI104" ca="1" si="76">(AX101*(180/PI()))</f>
        <v>80.134330559999924</v>
      </c>
      <c r="AY104" s="48">
        <f t="shared" ca="1" si="76"/>
        <v>80.128185593222597</v>
      </c>
      <c r="AZ104" s="48">
        <f t="shared" ca="1" si="76"/>
        <v>80.12368753248532</v>
      </c>
      <c r="BA104" s="48">
        <f t="shared" ca="1" si="76"/>
        <v>80.122041629400442</v>
      </c>
      <c r="BB104" s="48">
        <f t="shared" ca="1" si="76"/>
        <v>80.123688535217042</v>
      </c>
      <c r="BC104" s="48">
        <f t="shared" ca="1" si="76"/>
        <v>80.128186595954318</v>
      </c>
      <c r="BD104" s="48">
        <f t="shared" ca="1" si="76"/>
        <v>80.134330559999924</v>
      </c>
      <c r="BE104" s="48">
        <f t="shared" ca="1" si="76"/>
        <v>80.14047452404553</v>
      </c>
      <c r="BF104" s="48">
        <f t="shared" ca="1" si="76"/>
        <v>80.144972584782792</v>
      </c>
      <c r="BG104" s="48">
        <f t="shared" ca="1" si="76"/>
        <v>80.146619490599392</v>
      </c>
      <c r="BH104" s="48">
        <f t="shared" ca="1" si="76"/>
        <v>80.144973587514514</v>
      </c>
      <c r="BI104" s="48">
        <f t="shared" ca="1" si="76"/>
        <v>80.140475526777237</v>
      </c>
    </row>
    <row r="105" spans="20:61" x14ac:dyDescent="0.25">
      <c r="AX105" s="49">
        <f t="shared" ref="AX105:BI105" ca="1" si="77">(ROUND((((((AX103-(TRUNC(AX103)))*0.6)*100)-(TRUNC(((AX103-(TRUNC(AX103)))*0.6)*100)))*0.006)+(TRUNC(AX103)+((TRUNC(((AX103-(TRUNC(AX103)))*0.6)*100))/100)),15))*10000</f>
        <v>260410.259130416</v>
      </c>
      <c r="AY105" s="49">
        <f t="shared" ca="1" si="77"/>
        <v>260404.90515649001</v>
      </c>
      <c r="AZ105" s="49">
        <f t="shared" ca="1" si="77"/>
        <v>260350.27816682198</v>
      </c>
      <c r="BA105" s="49">
        <f t="shared" ca="1" si="77"/>
        <v>260330.29812953799</v>
      </c>
      <c r="BB105" s="49">
        <f t="shared" ca="1" si="77"/>
        <v>260310.319018251</v>
      </c>
      <c r="BC105" s="49">
        <f t="shared" ca="1" si="77"/>
        <v>260255.693880579</v>
      </c>
      <c r="BD105" s="49">
        <f t="shared" ca="1" si="77"/>
        <v>260250.34083265101</v>
      </c>
      <c r="BE105" s="49">
        <f t="shared" ca="1" si="77"/>
        <v>260255.693880579</v>
      </c>
      <c r="BF105" s="49">
        <f t="shared" ca="1" si="77"/>
        <v>260310.319018251</v>
      </c>
      <c r="BG105" s="49">
        <f t="shared" ca="1" si="77"/>
        <v>260330.29812953799</v>
      </c>
      <c r="BH105" s="49">
        <f t="shared" ca="1" si="77"/>
        <v>260350.27816682198</v>
      </c>
      <c r="BI105" s="49">
        <f t="shared" ca="1" si="77"/>
        <v>260404.90515649001</v>
      </c>
    </row>
    <row r="106" spans="20:61" x14ac:dyDescent="0.25">
      <c r="AX106" s="49">
        <f t="shared" ref="AX106:BI106" ca="1" si="78">(ROUND((((((AX104-(TRUNC(AX104)))*0.6)*100)-(TRUNC(((AX104-(TRUNC(AX104)))*0.6)*100)))*0.006)+(TRUNC(AX104)+((TRUNC(((AX104-(TRUNC(AX104)))*0.6)*100))/100)),15))*10000</f>
        <v>800803.59001599997</v>
      </c>
      <c r="AY106" s="49">
        <f t="shared" ca="1" si="78"/>
        <v>800741.46813560103</v>
      </c>
      <c r="AZ106" s="49">
        <f t="shared" ca="1" si="78"/>
        <v>800725.27511694701</v>
      </c>
      <c r="BA106" s="49">
        <f t="shared" ca="1" si="78"/>
        <v>800719.34986584191</v>
      </c>
      <c r="BB106" s="49">
        <f t="shared" ca="1" si="78"/>
        <v>800725.2787267809</v>
      </c>
      <c r="BC106" s="49">
        <f t="shared" ca="1" si="78"/>
        <v>800741.47174543596</v>
      </c>
      <c r="BD106" s="49">
        <f t="shared" ca="1" si="78"/>
        <v>800803.59001599997</v>
      </c>
      <c r="BE106" s="49">
        <f t="shared" ca="1" si="78"/>
        <v>800825.70828656398</v>
      </c>
      <c r="BF106" s="49">
        <f t="shared" ca="1" si="78"/>
        <v>800841.90130521799</v>
      </c>
      <c r="BG106" s="49">
        <f t="shared" ca="1" si="78"/>
        <v>800847.83016615803</v>
      </c>
      <c r="BH106" s="49">
        <f t="shared" ca="1" si="78"/>
        <v>800841.904915052</v>
      </c>
      <c r="BI106" s="49">
        <f t="shared" ca="1" si="78"/>
        <v>800825.71189639799</v>
      </c>
    </row>
    <row r="108" spans="20:61" x14ac:dyDescent="0.25">
      <c r="AX108" s="47" t="s">
        <v>450</v>
      </c>
      <c r="AY108" s="47" t="str">
        <f>"Circle FATO "&amp;AY112</f>
        <v>Circle FATO 30</v>
      </c>
      <c r="AZ108" s="47" t="str">
        <f t="shared" ref="AZ108:BI108" si="79">"Circle FATO "&amp;AZ112</f>
        <v>Circle FATO 60</v>
      </c>
      <c r="BA108" s="47" t="str">
        <f t="shared" si="79"/>
        <v>Circle FATO 90</v>
      </c>
      <c r="BB108" s="47" t="str">
        <f t="shared" si="79"/>
        <v>Circle FATO 120</v>
      </c>
      <c r="BC108" s="47" t="str">
        <f t="shared" si="79"/>
        <v>Circle FATO 150</v>
      </c>
      <c r="BD108" s="47" t="str">
        <f t="shared" si="79"/>
        <v>Circle FATO 180</v>
      </c>
      <c r="BE108" s="47" t="str">
        <f t="shared" si="79"/>
        <v>Circle FATO 210</v>
      </c>
      <c r="BF108" s="47" t="str">
        <f t="shared" si="79"/>
        <v>Circle FATO 240</v>
      </c>
      <c r="BG108" s="47" t="str">
        <f t="shared" si="79"/>
        <v>Circle FATO 270</v>
      </c>
      <c r="BH108" s="47" t="str">
        <f t="shared" si="79"/>
        <v>Circle FATO 300</v>
      </c>
      <c r="BI108" s="47" t="str">
        <f t="shared" si="79"/>
        <v>Circle FATO 330</v>
      </c>
    </row>
    <row r="109" spans="20:61" x14ac:dyDescent="0.25">
      <c r="AX109" s="48">
        <f t="shared" ref="AX109:BI109" ca="1" si="80">$O$47/2</f>
        <v>34.552</v>
      </c>
      <c r="AY109" s="48">
        <f t="shared" ca="1" si="80"/>
        <v>34.552</v>
      </c>
      <c r="AZ109" s="48">
        <f t="shared" ca="1" si="80"/>
        <v>34.552</v>
      </c>
      <c r="BA109" s="48">
        <f t="shared" ca="1" si="80"/>
        <v>34.552</v>
      </c>
      <c r="BB109" s="48">
        <f t="shared" ca="1" si="80"/>
        <v>34.552</v>
      </c>
      <c r="BC109" s="48">
        <f t="shared" ca="1" si="80"/>
        <v>34.552</v>
      </c>
      <c r="BD109" s="48">
        <f t="shared" ca="1" si="80"/>
        <v>34.552</v>
      </c>
      <c r="BE109" s="48">
        <f t="shared" ca="1" si="80"/>
        <v>34.552</v>
      </c>
      <c r="BF109" s="48">
        <f t="shared" ca="1" si="80"/>
        <v>34.552</v>
      </c>
      <c r="BG109" s="48">
        <f t="shared" ca="1" si="80"/>
        <v>34.552</v>
      </c>
      <c r="BH109" s="48">
        <f t="shared" ca="1" si="80"/>
        <v>34.552</v>
      </c>
      <c r="BI109" s="48">
        <f t="shared" ca="1" si="80"/>
        <v>34.552</v>
      </c>
    </row>
    <row r="110" spans="20:61" x14ac:dyDescent="0.25">
      <c r="AX110" s="48">
        <f t="shared" ref="AX110:BI110" si="81">$D$25</f>
        <v>260330.3</v>
      </c>
      <c r="AY110" s="48">
        <f t="shared" si="81"/>
        <v>260330.3</v>
      </c>
      <c r="AZ110" s="48">
        <f t="shared" si="81"/>
        <v>260330.3</v>
      </c>
      <c r="BA110" s="48">
        <f t="shared" si="81"/>
        <v>260330.3</v>
      </c>
      <c r="BB110" s="48">
        <f t="shared" si="81"/>
        <v>260330.3</v>
      </c>
      <c r="BC110" s="48">
        <f t="shared" si="81"/>
        <v>260330.3</v>
      </c>
      <c r="BD110" s="48">
        <f t="shared" si="81"/>
        <v>260330.3</v>
      </c>
      <c r="BE110" s="48">
        <f t="shared" si="81"/>
        <v>260330.3</v>
      </c>
      <c r="BF110" s="48">
        <f t="shared" si="81"/>
        <v>260330.3</v>
      </c>
      <c r="BG110" s="48">
        <f t="shared" si="81"/>
        <v>260330.3</v>
      </c>
      <c r="BH110" s="48">
        <f t="shared" si="81"/>
        <v>260330.3</v>
      </c>
      <c r="BI110" s="48">
        <f t="shared" si="81"/>
        <v>260330.3</v>
      </c>
    </row>
    <row r="111" spans="20:61" x14ac:dyDescent="0.25">
      <c r="AX111" s="48">
        <f t="shared" ref="AX111:BI111" si="82">$D$26</f>
        <v>800803.59</v>
      </c>
      <c r="AY111" s="48">
        <f t="shared" si="82"/>
        <v>800803.59</v>
      </c>
      <c r="AZ111" s="48">
        <f t="shared" si="82"/>
        <v>800803.59</v>
      </c>
      <c r="BA111" s="48">
        <f t="shared" si="82"/>
        <v>800803.59</v>
      </c>
      <c r="BB111" s="48">
        <f t="shared" si="82"/>
        <v>800803.59</v>
      </c>
      <c r="BC111" s="48">
        <f t="shared" si="82"/>
        <v>800803.59</v>
      </c>
      <c r="BD111" s="48">
        <f t="shared" si="82"/>
        <v>800803.59</v>
      </c>
      <c r="BE111" s="48">
        <f t="shared" si="82"/>
        <v>800803.59</v>
      </c>
      <c r="BF111" s="48">
        <f t="shared" si="82"/>
        <v>800803.59</v>
      </c>
      <c r="BG111" s="48">
        <f t="shared" si="82"/>
        <v>800803.59</v>
      </c>
      <c r="BH111" s="48">
        <f t="shared" si="82"/>
        <v>800803.59</v>
      </c>
      <c r="BI111" s="48">
        <f t="shared" si="82"/>
        <v>800803.59</v>
      </c>
    </row>
    <row r="112" spans="20:61" x14ac:dyDescent="0.25">
      <c r="AX112" s="48">
        <v>0</v>
      </c>
      <c r="AY112" s="48">
        <v>30</v>
      </c>
      <c r="AZ112" s="48">
        <v>60</v>
      </c>
      <c r="BA112" s="48">
        <v>90</v>
      </c>
      <c r="BB112" s="48">
        <v>120</v>
      </c>
      <c r="BC112" s="48">
        <v>150</v>
      </c>
      <c r="BD112" s="48">
        <v>180</v>
      </c>
      <c r="BE112" s="48">
        <v>210</v>
      </c>
      <c r="BF112" s="48">
        <v>240</v>
      </c>
      <c r="BG112" s="48">
        <v>270</v>
      </c>
      <c r="BH112" s="48">
        <v>300</v>
      </c>
      <c r="BI112" s="48">
        <v>330</v>
      </c>
    </row>
    <row r="113" spans="50:61" x14ac:dyDescent="0.25">
      <c r="AX113" s="48">
        <f t="shared" ref="AX113:BI113" ca="1" si="83">ROUND((AX109/6076.115489),15)</f>
        <v>5.686527858556E-3</v>
      </c>
      <c r="AY113" s="48">
        <f t="shared" ca="1" si="83"/>
        <v>5.686527858556E-3</v>
      </c>
      <c r="AZ113" s="48">
        <f t="shared" ca="1" si="83"/>
        <v>5.686527858556E-3</v>
      </c>
      <c r="BA113" s="48">
        <f t="shared" ca="1" si="83"/>
        <v>5.686527858556E-3</v>
      </c>
      <c r="BB113" s="48">
        <f t="shared" ca="1" si="83"/>
        <v>5.686527858556E-3</v>
      </c>
      <c r="BC113" s="48">
        <f t="shared" ca="1" si="83"/>
        <v>5.686527858556E-3</v>
      </c>
      <c r="BD113" s="48">
        <f t="shared" ca="1" si="83"/>
        <v>5.686527858556E-3</v>
      </c>
      <c r="BE113" s="48">
        <f t="shared" ca="1" si="83"/>
        <v>5.686527858556E-3</v>
      </c>
      <c r="BF113" s="48">
        <f t="shared" ca="1" si="83"/>
        <v>5.686527858556E-3</v>
      </c>
      <c r="BG113" s="48">
        <f t="shared" ca="1" si="83"/>
        <v>5.686527858556E-3</v>
      </c>
      <c r="BH113" s="48">
        <f t="shared" ca="1" si="83"/>
        <v>5.686527858556E-3</v>
      </c>
      <c r="BI113" s="48">
        <f t="shared" ca="1" si="83"/>
        <v>5.686527858556E-3</v>
      </c>
    </row>
    <row r="114" spans="50:61" x14ac:dyDescent="0.25">
      <c r="AX114" s="48">
        <f>ROUND((((ROUND(((((((AX110)-((TRUNC(AX110/100))*100))/60)+(TRUNC(AX110/100))-((TRUNC(AX110/10000))*100))/60)+((TRUNC(AX110/10000))))*1000000,2))/1000000)*(PI()/180)),15)</f>
        <v>0.45480516874807703</v>
      </c>
      <c r="AY114" s="48">
        <f t="shared" ref="AY114:BI114" si="84">ROUND((((ROUND(((((((AY110)-((TRUNC(AY110/100))*100))/60)+(TRUNC(AY110/100))-((TRUNC(AY110/10000))*100))/60)+((TRUNC(AY110/10000))))*1000000,2))/1000000)*(PI()/180)),15)</f>
        <v>0.45480516874807703</v>
      </c>
      <c r="AZ114" s="48">
        <f t="shared" si="84"/>
        <v>0.45480516874807703</v>
      </c>
      <c r="BA114" s="48">
        <f t="shared" si="84"/>
        <v>0.45480516874807703</v>
      </c>
      <c r="BB114" s="48">
        <f t="shared" si="84"/>
        <v>0.45480516874807703</v>
      </c>
      <c r="BC114" s="48">
        <f t="shared" si="84"/>
        <v>0.45480516874807703</v>
      </c>
      <c r="BD114" s="48">
        <f t="shared" si="84"/>
        <v>0.45480516874807703</v>
      </c>
      <c r="BE114" s="48">
        <f t="shared" si="84"/>
        <v>0.45480516874807703</v>
      </c>
      <c r="BF114" s="48">
        <f t="shared" si="84"/>
        <v>0.45480516874807703</v>
      </c>
      <c r="BG114" s="48">
        <f t="shared" si="84"/>
        <v>0.45480516874807703</v>
      </c>
      <c r="BH114" s="48">
        <f t="shared" si="84"/>
        <v>0.45480516874807703</v>
      </c>
      <c r="BI114" s="48">
        <f t="shared" si="84"/>
        <v>0.45480516874807703</v>
      </c>
    </row>
    <row r="115" spans="50:61" x14ac:dyDescent="0.25">
      <c r="AX115" s="48">
        <f>ROUND((((ROUND(((((((AX111)-((TRUNC(AX111/100))*100))/60)+(TRUNC(AX111/100))-((TRUNC(AX111/10000))*100))/60)+((TRUNC(AX111/10000))))*1000000,2))/1000000)*(PI()/180)),15)</f>
        <v>1.39860791215351</v>
      </c>
      <c r="AY115" s="48">
        <f t="shared" ref="AY115:BI115" si="85">ROUND((((ROUND(((((((AY111)-((TRUNC(AY111/100))*100))/60)+(TRUNC(AY111/100))-((TRUNC(AY111/10000))*100))/60)+((TRUNC(AY111/10000))))*1000000,2))/1000000)*(PI()/180)),15)</f>
        <v>1.39860791215351</v>
      </c>
      <c r="AZ115" s="48">
        <f t="shared" si="85"/>
        <v>1.39860791215351</v>
      </c>
      <c r="BA115" s="48">
        <f t="shared" si="85"/>
        <v>1.39860791215351</v>
      </c>
      <c r="BB115" s="48">
        <f t="shared" si="85"/>
        <v>1.39860791215351</v>
      </c>
      <c r="BC115" s="48">
        <f t="shared" si="85"/>
        <v>1.39860791215351</v>
      </c>
      <c r="BD115" s="48">
        <f t="shared" si="85"/>
        <v>1.39860791215351</v>
      </c>
      <c r="BE115" s="48">
        <f t="shared" si="85"/>
        <v>1.39860791215351</v>
      </c>
      <c r="BF115" s="48">
        <f t="shared" si="85"/>
        <v>1.39860791215351</v>
      </c>
      <c r="BG115" s="48">
        <f t="shared" si="85"/>
        <v>1.39860791215351</v>
      </c>
      <c r="BH115" s="48">
        <f t="shared" si="85"/>
        <v>1.39860791215351</v>
      </c>
      <c r="BI115" s="48">
        <f t="shared" si="85"/>
        <v>1.39860791215351</v>
      </c>
    </row>
    <row r="116" spans="50:61" x14ac:dyDescent="0.25">
      <c r="AX116" s="48">
        <f>ROUND((((((AX112-(TRUNC(AX112)))*0.6)*100)-(TRUNC(((AX112-(TRUNC(AX112)))*0.6)*100)))*0.006)+(TRUNC(AX112)+((TRUNC(((AX112-(TRUNC(AX112)))*0.6)*100))/100)),15)</f>
        <v>0</v>
      </c>
      <c r="AY116" s="48">
        <f t="shared" ref="AY116:BI116" si="86">ROUND((((((AY112-(TRUNC(AY112)))*0.6)*100)-(TRUNC(((AY112-(TRUNC(AY112)))*0.6)*100)))*0.006)+(TRUNC(AY112)+((TRUNC(((AY112-(TRUNC(AY112)))*0.6)*100))/100)),15)</f>
        <v>30</v>
      </c>
      <c r="AZ116" s="48">
        <f t="shared" si="86"/>
        <v>60</v>
      </c>
      <c r="BA116" s="48">
        <f t="shared" si="86"/>
        <v>90</v>
      </c>
      <c r="BB116" s="48">
        <f t="shared" si="86"/>
        <v>120</v>
      </c>
      <c r="BC116" s="48">
        <f t="shared" si="86"/>
        <v>150</v>
      </c>
      <c r="BD116" s="48">
        <f t="shared" si="86"/>
        <v>180</v>
      </c>
      <c r="BE116" s="48">
        <f t="shared" si="86"/>
        <v>210</v>
      </c>
      <c r="BF116" s="48">
        <f t="shared" si="86"/>
        <v>240</v>
      </c>
      <c r="BG116" s="48">
        <f t="shared" si="86"/>
        <v>270</v>
      </c>
      <c r="BH116" s="48">
        <f t="shared" si="86"/>
        <v>300</v>
      </c>
      <c r="BI116" s="48">
        <f t="shared" si="86"/>
        <v>330</v>
      </c>
    </row>
    <row r="117" spans="50:61" x14ac:dyDescent="0.25">
      <c r="AX117" s="48">
        <f>ROUND((AX112*(PI()/180)),15)</f>
        <v>0</v>
      </c>
      <c r="AY117" s="48">
        <f t="shared" ref="AY117:BI117" si="87">ROUND((AY112*(PI()/180)),15)</f>
        <v>0.52359877559829904</v>
      </c>
      <c r="AZ117" s="48">
        <f t="shared" si="87"/>
        <v>1.0471975511966001</v>
      </c>
      <c r="BA117" s="48">
        <f t="shared" si="87"/>
        <v>1.5707963267949001</v>
      </c>
      <c r="BB117" s="48">
        <f t="shared" si="87"/>
        <v>2.0943951023932001</v>
      </c>
      <c r="BC117" s="48">
        <f t="shared" si="87"/>
        <v>2.61799387799149</v>
      </c>
      <c r="BD117" s="48">
        <f t="shared" si="87"/>
        <v>3.14159265358979</v>
      </c>
      <c r="BE117" s="48">
        <f t="shared" si="87"/>
        <v>3.66519142918809</v>
      </c>
      <c r="BF117" s="48">
        <f t="shared" si="87"/>
        <v>4.1887902047863896</v>
      </c>
      <c r="BG117" s="48">
        <f t="shared" si="87"/>
        <v>4.7123889803846897</v>
      </c>
      <c r="BH117" s="48">
        <f t="shared" si="87"/>
        <v>5.2359877559829897</v>
      </c>
      <c r="BI117" s="48">
        <f t="shared" si="87"/>
        <v>5.7595865315812897</v>
      </c>
    </row>
    <row r="118" spans="50:61" x14ac:dyDescent="0.25">
      <c r="AX118" s="48">
        <f t="shared" ref="AX118:BI118" ca="1" si="88">ROUND(((AX113*1852)/6399598.4),15)</f>
        <v>1.6456422630000001E-6</v>
      </c>
      <c r="AY118" s="48">
        <f t="shared" ca="1" si="88"/>
        <v>1.6456422630000001E-6</v>
      </c>
      <c r="AZ118" s="48">
        <f t="shared" ca="1" si="88"/>
        <v>1.6456422630000001E-6</v>
      </c>
      <c r="BA118" s="48">
        <f t="shared" ca="1" si="88"/>
        <v>1.6456422630000001E-6</v>
      </c>
      <c r="BB118" s="48">
        <f t="shared" ca="1" si="88"/>
        <v>1.6456422630000001E-6</v>
      </c>
      <c r="BC118" s="48">
        <f t="shared" ca="1" si="88"/>
        <v>1.6456422630000001E-6</v>
      </c>
      <c r="BD118" s="48">
        <f t="shared" ca="1" si="88"/>
        <v>1.6456422630000001E-6</v>
      </c>
      <c r="BE118" s="48">
        <f t="shared" ca="1" si="88"/>
        <v>1.6456422630000001E-6</v>
      </c>
      <c r="BF118" s="48">
        <f t="shared" ca="1" si="88"/>
        <v>1.6456422630000001E-6</v>
      </c>
      <c r="BG118" s="48">
        <f t="shared" ca="1" si="88"/>
        <v>1.6456422630000001E-6</v>
      </c>
      <c r="BH118" s="48">
        <f t="shared" ca="1" si="88"/>
        <v>1.6456422630000001E-6</v>
      </c>
      <c r="BI118" s="48">
        <f t="shared" ca="1" si="88"/>
        <v>1.6456422630000001E-6</v>
      </c>
    </row>
    <row r="119" spans="50:61" x14ac:dyDescent="0.25">
      <c r="AX119" s="48">
        <f t="shared" ref="AX119:BI119" ca="1" si="89">ROUND(((((COS(((((AX113*1852)/6399598.4)*(COS(AX117)))/2)+AX114))*(COS(((((AX113*1852)/6399598.4)*(COS(AX117)))/2)+AX114)))/148.38)+1),15)</f>
        <v>1.0054389137486299</v>
      </c>
      <c r="AY119" s="48">
        <f t="shared" ca="1" si="89"/>
        <v>1.005438914335</v>
      </c>
      <c r="AZ119" s="48">
        <f t="shared" ca="1" si="89"/>
        <v>1.0054389159370101</v>
      </c>
      <c r="BA119" s="48">
        <f t="shared" ca="1" si="89"/>
        <v>1.00543891812539</v>
      </c>
      <c r="BB119" s="48">
        <f t="shared" ca="1" si="89"/>
        <v>1.0054389203137699</v>
      </c>
      <c r="BC119" s="48">
        <f t="shared" ca="1" si="89"/>
        <v>1.00543892191577</v>
      </c>
      <c r="BD119" s="48">
        <f t="shared" ca="1" si="89"/>
        <v>1.0054389225021501</v>
      </c>
      <c r="BE119" s="48">
        <f t="shared" ca="1" si="89"/>
        <v>1.00543892191577</v>
      </c>
      <c r="BF119" s="48">
        <f t="shared" ca="1" si="89"/>
        <v>1.0054389203137699</v>
      </c>
      <c r="BG119" s="48">
        <f t="shared" ca="1" si="89"/>
        <v>1.00543891812539</v>
      </c>
      <c r="BH119" s="48">
        <f t="shared" ca="1" si="89"/>
        <v>1.0054389159370101</v>
      </c>
      <c r="BI119" s="48">
        <f t="shared" ca="1" si="89"/>
        <v>1.005438914335</v>
      </c>
    </row>
    <row r="120" spans="50:61" x14ac:dyDescent="0.25">
      <c r="AX120" s="48">
        <f t="shared" ref="AX120:BI120" ca="1" si="90">((AX119*AX119)*(AX118*AX118))*(SIN(AX117))*(COS(AX117))</f>
        <v>0</v>
      </c>
      <c r="AY120" s="48">
        <f t="shared" ca="1" si="90"/>
        <v>1.1854490166573835E-12</v>
      </c>
      <c r="AZ120" s="48">
        <f t="shared" ca="1" si="90"/>
        <v>1.1854490204350366E-12</v>
      </c>
      <c r="BA120" s="48">
        <f t="shared" ca="1" si="90"/>
        <v>-9.5584803830527357E-27</v>
      </c>
      <c r="BB120" s="48">
        <f t="shared" ca="1" si="90"/>
        <v>-1.1854490307557636E-12</v>
      </c>
      <c r="BC120" s="48">
        <f t="shared" ca="1" si="90"/>
        <v>-1.1854490345333961E-12</v>
      </c>
      <c r="BD120" s="48">
        <f t="shared" ca="1" si="90"/>
        <v>-8.8458166896187493E-27</v>
      </c>
      <c r="BE120" s="48">
        <f t="shared" ca="1" si="90"/>
        <v>1.1854490345333872E-12</v>
      </c>
      <c r="BF120" s="48">
        <f t="shared" ca="1" si="90"/>
        <v>1.1854490307557594E-12</v>
      </c>
      <c r="BG120" s="48">
        <f t="shared" ca="1" si="90"/>
        <v>5.0310915906202484E-28</v>
      </c>
      <c r="BH120" s="48">
        <f t="shared" ca="1" si="90"/>
        <v>-1.185449020435041E-12</v>
      </c>
      <c r="BI120" s="48">
        <f t="shared" ca="1" si="90"/>
        <v>-1.1854490166573803E-12</v>
      </c>
    </row>
    <row r="121" spans="50:61" x14ac:dyDescent="0.25">
      <c r="AX121" s="48">
        <f t="shared" ref="AX121:BI121" ca="1" si="91">((((AX113*1852)/6399598.4)*(COS(AX117)))/2)+AX114</f>
        <v>0.45480599156920859</v>
      </c>
      <c r="AY121" s="48">
        <f t="shared" ca="1" si="91"/>
        <v>0.45480588133207972</v>
      </c>
      <c r="AZ121" s="48">
        <f t="shared" ca="1" si="91"/>
        <v>0.45480558015864281</v>
      </c>
      <c r="BA121" s="48">
        <f t="shared" ca="1" si="91"/>
        <v>0.45480516874807703</v>
      </c>
      <c r="BB121" s="48">
        <f t="shared" ca="1" si="91"/>
        <v>0.45480475733751125</v>
      </c>
      <c r="BC121" s="48">
        <f t="shared" ca="1" si="91"/>
        <v>0.45480445616407433</v>
      </c>
      <c r="BD121" s="48">
        <f t="shared" ca="1" si="91"/>
        <v>0.45480434592694546</v>
      </c>
      <c r="BE121" s="48">
        <f t="shared" ca="1" si="91"/>
        <v>0.45480445616407433</v>
      </c>
      <c r="BF121" s="48">
        <f t="shared" ca="1" si="91"/>
        <v>0.45480475733751125</v>
      </c>
      <c r="BG121" s="48">
        <f t="shared" ca="1" si="91"/>
        <v>0.45480516874807703</v>
      </c>
      <c r="BH121" s="48">
        <f t="shared" ca="1" si="91"/>
        <v>0.45480558015864281</v>
      </c>
      <c r="BI121" s="48">
        <f t="shared" ca="1" si="91"/>
        <v>0.45480588133207972</v>
      </c>
    </row>
    <row r="122" spans="50:61" x14ac:dyDescent="0.25">
      <c r="AX122" s="48">
        <f t="shared" ref="AX122:BI122" ca="1" si="92">((TAN((AX121-AX114)+AX121))*AX120)*(TAN(AX117))</f>
        <v>0</v>
      </c>
      <c r="AY122" s="48">
        <f t="shared" ca="1" si="92"/>
        <v>3.3467904555226908E-13</v>
      </c>
      <c r="AZ122" s="48">
        <f t="shared" ca="1" si="92"/>
        <v>1.0040356073483298E-12</v>
      </c>
      <c r="BA122" s="48">
        <f t="shared" ca="1" si="92"/>
        <v>1.3387113577006979E-12</v>
      </c>
      <c r="BB122" s="48">
        <f t="shared" ca="1" si="92"/>
        <v>1.0040314292043809E-12</v>
      </c>
      <c r="BC122" s="48">
        <f t="shared" ca="1" si="92"/>
        <v>3.3467663329974489E-13</v>
      </c>
      <c r="BD122" s="48">
        <f t="shared" ca="1" si="92"/>
        <v>1.397643817743961E-41</v>
      </c>
      <c r="BE122" s="48">
        <f t="shared" ca="1" si="92"/>
        <v>3.3467663329973737E-13</v>
      </c>
      <c r="BF122" s="48">
        <f t="shared" ca="1" si="92"/>
        <v>1.0040314292043849E-12</v>
      </c>
      <c r="BG122" s="48">
        <f t="shared" ca="1" si="92"/>
        <v>1.3387113577006979E-12</v>
      </c>
      <c r="BH122" s="48">
        <f t="shared" ca="1" si="92"/>
        <v>1.0040356073483259E-12</v>
      </c>
      <c r="BI122" s="48">
        <f t="shared" ca="1" si="92"/>
        <v>3.3467904555226641E-13</v>
      </c>
    </row>
    <row r="123" spans="50:61" x14ac:dyDescent="0.25">
      <c r="AX123" s="48">
        <f t="shared" ref="AX123:BI123" ca="1" si="93">ROUND((((((COS(AX117-(AX120/3)))*AX118)*(SQRT(AX119))*((AX119)))-(AX122/2))+AX114),15)</f>
        <v>0.45480682783433801</v>
      </c>
      <c r="AY123" s="48">
        <f t="shared" ca="1" si="93"/>
        <v>0.45480660555876001</v>
      </c>
      <c r="AZ123" s="48">
        <f t="shared" ca="1" si="93"/>
        <v>0.454805998290708</v>
      </c>
      <c r="BA123" s="48">
        <f t="shared" ca="1" si="93"/>
        <v>0.45480516874740801</v>
      </c>
      <c r="BB123" s="48">
        <f t="shared" ca="1" si="93"/>
        <v>0.45480433920443603</v>
      </c>
      <c r="BC123" s="48">
        <f t="shared" ca="1" si="93"/>
        <v>0.45480373193704299</v>
      </c>
      <c r="BD123" s="48">
        <f t="shared" ca="1" si="93"/>
        <v>0.454803509661794</v>
      </c>
      <c r="BE123" s="48">
        <f t="shared" ca="1" si="93"/>
        <v>0.45480373193704299</v>
      </c>
      <c r="BF123" s="48">
        <f t="shared" ca="1" si="93"/>
        <v>0.45480433920443603</v>
      </c>
      <c r="BG123" s="48">
        <f t="shared" ca="1" si="93"/>
        <v>0.45480516874740801</v>
      </c>
      <c r="BH123" s="48">
        <f t="shared" ca="1" si="93"/>
        <v>0.454805998290708</v>
      </c>
      <c r="BI123" s="48">
        <f t="shared" ca="1" si="93"/>
        <v>0.45480660555876001</v>
      </c>
    </row>
    <row r="124" spans="50:61" x14ac:dyDescent="0.25">
      <c r="AX124" s="48">
        <f t="shared" ref="AX124:BI124" ca="1" si="94">ROUND(((AX115-((((SQRT((((COS(AX123))*(COS(AX123)))/148.38)+1))*AX118)*(SIN(AX117-(AX120/6))))/(COS((AX122/6)+AX123))))),15)</f>
        <v>1.39860791215351</v>
      </c>
      <c r="AY124" s="48">
        <f t="shared" ca="1" si="94"/>
        <v>1.39860699373709</v>
      </c>
      <c r="AZ124" s="48">
        <f t="shared" ca="1" si="94"/>
        <v>1.3986063214100699</v>
      </c>
      <c r="BA124" s="48">
        <f t="shared" ca="1" si="94"/>
        <v>1.39860607532194</v>
      </c>
      <c r="BB124" s="48">
        <f t="shared" ca="1" si="94"/>
        <v>1.39860632141135</v>
      </c>
      <c r="BC124" s="48">
        <f t="shared" ca="1" si="94"/>
        <v>1.3986069937383701</v>
      </c>
      <c r="BD124" s="48">
        <f t="shared" ca="1" si="94"/>
        <v>1.39860791215351</v>
      </c>
      <c r="BE124" s="48">
        <f t="shared" ca="1" si="94"/>
        <v>1.3986088305686499</v>
      </c>
      <c r="BF124" s="48">
        <f t="shared" ca="1" si="94"/>
        <v>1.39860950289567</v>
      </c>
      <c r="BG124" s="48">
        <f t="shared" ca="1" si="94"/>
        <v>1.3986097489850799</v>
      </c>
      <c r="BH124" s="48">
        <f t="shared" ca="1" si="94"/>
        <v>1.3986095028969501</v>
      </c>
      <c r="BI124" s="48">
        <f t="shared" ca="1" si="94"/>
        <v>1.39860883056993</v>
      </c>
    </row>
    <row r="125" spans="50:61" x14ac:dyDescent="0.25">
      <c r="AX125" s="48">
        <f t="shared" ref="AX125:BI125" ca="1" si="95">ROUND((((((((((SQRT((((COS(AX123))*(COS(AX123)))/148.38)+1))*AX118)*(SIN(AX117-(AX120/6))))/(COS((AX122/6)+AX122)))*(SIN((AX122/3)+AX122)))-(AX120/2))-PI())+AX117)+(PI()+PI())),15)</f>
        <v>3.14159265358979</v>
      </c>
      <c r="AY125" s="48">
        <f t="shared" ca="1" si="95"/>
        <v>3.6651914291874998</v>
      </c>
      <c r="AZ125" s="48">
        <f t="shared" ca="1" si="95"/>
        <v>4.1887902047857999</v>
      </c>
      <c r="BA125" s="48">
        <f t="shared" ca="1" si="95"/>
        <v>4.7123889803846897</v>
      </c>
      <c r="BB125" s="48">
        <f t="shared" ca="1" si="95"/>
        <v>5.2359877559835901</v>
      </c>
      <c r="BC125" s="48">
        <f t="shared" ca="1" si="95"/>
        <v>5.7595865315818804</v>
      </c>
      <c r="BD125" s="48">
        <f t="shared" ca="1" si="95"/>
        <v>6.28318530717958</v>
      </c>
      <c r="BE125" s="48">
        <f t="shared" ca="1" si="95"/>
        <v>6.8067840827772903</v>
      </c>
      <c r="BF125" s="48">
        <f t="shared" ca="1" si="95"/>
        <v>7.3303828583755903</v>
      </c>
      <c r="BG125" s="48">
        <f t="shared" ca="1" si="95"/>
        <v>7.8539816339744801</v>
      </c>
      <c r="BH125" s="48">
        <f t="shared" ca="1" si="95"/>
        <v>8.3775804095733797</v>
      </c>
      <c r="BI125" s="48">
        <f t="shared" ca="1" si="95"/>
        <v>8.9011791851716797</v>
      </c>
    </row>
    <row r="126" spans="50:61" x14ac:dyDescent="0.25">
      <c r="AX126" s="48">
        <f t="shared" ref="AX126:BI126" ca="1" si="96">(AX123*(180/PI()))</f>
        <v>26.058511728640624</v>
      </c>
      <c r="AY126" s="48">
        <f t="shared" ca="1" si="96"/>
        <v>26.058498993188113</v>
      </c>
      <c r="AZ126" s="48">
        <f t="shared" ca="1" si="96"/>
        <v>26.058464199291702</v>
      </c>
      <c r="BA126" s="48">
        <f t="shared" ca="1" si="96"/>
        <v>26.058416669961687</v>
      </c>
      <c r="BB126" s="48">
        <f t="shared" ca="1" si="96"/>
        <v>26.05836914065047</v>
      </c>
      <c r="BC126" s="48">
        <f t="shared" ca="1" si="96"/>
        <v>26.058334346791813</v>
      </c>
      <c r="BD126" s="48">
        <f t="shared" ca="1" si="96"/>
        <v>26.058321611358156</v>
      </c>
      <c r="BE126" s="48">
        <f t="shared" ca="1" si="96"/>
        <v>26.058334346791813</v>
      </c>
      <c r="BF126" s="48">
        <f t="shared" ca="1" si="96"/>
        <v>26.05836914065047</v>
      </c>
      <c r="BG126" s="48">
        <f t="shared" ca="1" si="96"/>
        <v>26.058416669961687</v>
      </c>
      <c r="BH126" s="48">
        <f t="shared" ca="1" si="96"/>
        <v>26.058464199291702</v>
      </c>
      <c r="BI126" s="48">
        <f t="shared" ca="1" si="96"/>
        <v>26.058498993188113</v>
      </c>
    </row>
    <row r="127" spans="50:61" x14ac:dyDescent="0.25">
      <c r="AX127" s="48">
        <f t="shared" ref="AX127:BI127" ca="1" si="97">(AX124*(180/PI()))</f>
        <v>80.134330559999924</v>
      </c>
      <c r="AY127" s="48">
        <f t="shared" ca="1" si="97"/>
        <v>80.134277938615213</v>
      </c>
      <c r="AZ127" s="48">
        <f t="shared" ca="1" si="97"/>
        <v>80.134239417114514</v>
      </c>
      <c r="BA127" s="48">
        <f t="shared" ca="1" si="97"/>
        <v>80.13422531730329</v>
      </c>
      <c r="BB127" s="48">
        <f t="shared" ca="1" si="97"/>
        <v>80.134239417187857</v>
      </c>
      <c r="BC127" s="48">
        <f t="shared" ca="1" si="97"/>
        <v>80.134277938688555</v>
      </c>
      <c r="BD127" s="48">
        <f t="shared" ca="1" si="97"/>
        <v>80.134330559999924</v>
      </c>
      <c r="BE127" s="48">
        <f t="shared" ca="1" si="97"/>
        <v>80.134383181311279</v>
      </c>
      <c r="BF127" s="48">
        <f t="shared" ca="1" si="97"/>
        <v>80.134421702811977</v>
      </c>
      <c r="BG127" s="48">
        <f t="shared" ca="1" si="97"/>
        <v>80.134435802696558</v>
      </c>
      <c r="BH127" s="48">
        <f t="shared" ca="1" si="97"/>
        <v>80.134421702885319</v>
      </c>
      <c r="BI127" s="48">
        <f t="shared" ca="1" si="97"/>
        <v>80.134383181384621</v>
      </c>
    </row>
    <row r="128" spans="50:61" x14ac:dyDescent="0.25">
      <c r="AX128" s="49">
        <f t="shared" ref="AX128:BI128" ca="1" si="98">(ROUND((((((AX126-(TRUNC(AX126)))*0.6)*100)-(TRUNC(((AX126-(TRUNC(AX126)))*0.6)*100)))*0.006)+(TRUNC(AX126)+((TRUNC(((AX126-(TRUNC(AX126)))*0.6)*100))/100)),15))*10000</f>
        <v>260330.642223106</v>
      </c>
      <c r="AY128" s="49">
        <f t="shared" ca="1" si="98"/>
        <v>260330.59637547701</v>
      </c>
      <c r="AZ128" s="49">
        <f t="shared" ca="1" si="98"/>
        <v>260330.47111744998</v>
      </c>
      <c r="BA128" s="49">
        <f t="shared" ca="1" si="98"/>
        <v>260330.30001186201</v>
      </c>
      <c r="BB128" s="49">
        <f t="shared" ca="1" si="98"/>
        <v>260330.128906342</v>
      </c>
      <c r="BC128" s="49">
        <f t="shared" ca="1" si="98"/>
        <v>260330.00364845101</v>
      </c>
      <c r="BD128" s="49">
        <f t="shared" ca="1" si="98"/>
        <v>260329.95780088901</v>
      </c>
      <c r="BE128" s="49">
        <f t="shared" ca="1" si="98"/>
        <v>260330.00364845101</v>
      </c>
      <c r="BF128" s="49">
        <f t="shared" ca="1" si="98"/>
        <v>260330.128906342</v>
      </c>
      <c r="BG128" s="49">
        <f t="shared" ca="1" si="98"/>
        <v>260330.30001186201</v>
      </c>
      <c r="BH128" s="49">
        <f t="shared" ca="1" si="98"/>
        <v>260330.47111744998</v>
      </c>
      <c r="BI128" s="49">
        <f t="shared" ca="1" si="98"/>
        <v>260330.59637547701</v>
      </c>
    </row>
    <row r="129" spans="30:66" x14ac:dyDescent="0.25">
      <c r="AX129" s="49">
        <f t="shared" ref="AX129:BI129" ca="1" si="99">(ROUND((((((AX127-(TRUNC(AX127)))*0.6)*100)-(TRUNC(((AX127-(TRUNC(AX127)))*0.6)*100)))*0.006)+(TRUNC(AX127)+((TRUNC(((AX127-(TRUNC(AX127)))*0.6)*100))/100)),15))*10000</f>
        <v>800803.59001599997</v>
      </c>
      <c r="AY129" s="49">
        <f t="shared" ca="1" si="99"/>
        <v>800803.40057901491</v>
      </c>
      <c r="AZ129" s="49">
        <f t="shared" ca="1" si="99"/>
        <v>800803.26190161204</v>
      </c>
      <c r="BA129" s="49">
        <f t="shared" ca="1" si="99"/>
        <v>800803.21114229201</v>
      </c>
      <c r="BB129" s="49">
        <f t="shared" ca="1" si="99"/>
        <v>800803.26190187607</v>
      </c>
      <c r="BC129" s="49">
        <f t="shared" ca="1" si="99"/>
        <v>800803.40057927894</v>
      </c>
      <c r="BD129" s="49">
        <f t="shared" ca="1" si="99"/>
        <v>800803.59001599997</v>
      </c>
      <c r="BE129" s="49">
        <f t="shared" ca="1" si="99"/>
        <v>800803.77945272101</v>
      </c>
      <c r="BF129" s="49">
        <f t="shared" ca="1" si="99"/>
        <v>800803.91813012294</v>
      </c>
      <c r="BG129" s="49">
        <f t="shared" ca="1" si="99"/>
        <v>800803.96888970793</v>
      </c>
      <c r="BH129" s="49">
        <f t="shared" ca="1" si="99"/>
        <v>800803.91813038697</v>
      </c>
      <c r="BI129" s="49">
        <f t="shared" ca="1" si="99"/>
        <v>800803.77945298492</v>
      </c>
    </row>
    <row r="131" spans="30:66" x14ac:dyDescent="0.25">
      <c r="AD131" s="25" t="s">
        <v>327</v>
      </c>
      <c r="AE131" s="47" t="s">
        <v>778</v>
      </c>
      <c r="AF131" s="47" t="s">
        <v>781</v>
      </c>
      <c r="AG131" s="47" t="s">
        <v>782</v>
      </c>
      <c r="AH131" s="47" t="s">
        <v>783</v>
      </c>
      <c r="AI131" s="47" t="s">
        <v>784</v>
      </c>
      <c r="AJ131" s="47" t="s">
        <v>785</v>
      </c>
      <c r="AK131" s="47" t="s">
        <v>786</v>
      </c>
      <c r="AL131" s="47" t="s">
        <v>787</v>
      </c>
      <c r="AM131" s="47" t="s">
        <v>788</v>
      </c>
      <c r="AN131" s="47" t="s">
        <v>789</v>
      </c>
      <c r="AO131" s="47" t="s">
        <v>790</v>
      </c>
      <c r="AP131" s="47" t="s">
        <v>791</v>
      </c>
      <c r="AQ131" s="47" t="s">
        <v>792</v>
      </c>
      <c r="AR131" s="47" t="s">
        <v>793</v>
      </c>
      <c r="AS131" s="47" t="s">
        <v>794</v>
      </c>
      <c r="AT131" s="47" t="s">
        <v>795</v>
      </c>
      <c r="AU131" s="47" t="s">
        <v>796</v>
      </c>
      <c r="AV131" s="47" t="s">
        <v>797</v>
      </c>
      <c r="AW131" s="47" t="s">
        <v>798</v>
      </c>
      <c r="AX131" s="47" t="s">
        <v>799</v>
      </c>
      <c r="AY131" s="47" t="s">
        <v>800</v>
      </c>
      <c r="AZ131" s="47" t="s">
        <v>801</v>
      </c>
      <c r="BA131" s="47" t="s">
        <v>802</v>
      </c>
      <c r="BB131" s="47" t="s">
        <v>803</v>
      </c>
      <c r="BC131" s="47" t="s">
        <v>804</v>
      </c>
      <c r="BD131" s="47" t="s">
        <v>805</v>
      </c>
      <c r="BE131" s="47" t="s">
        <v>806</v>
      </c>
      <c r="BF131" s="47" t="s">
        <v>807</v>
      </c>
      <c r="BG131" s="47" t="s">
        <v>808</v>
      </c>
      <c r="BH131" s="47" t="s">
        <v>809</v>
      </c>
      <c r="BI131" s="47" t="s">
        <v>810</v>
      </c>
      <c r="BJ131" s="47" t="s">
        <v>811</v>
      </c>
      <c r="BK131" s="47" t="s">
        <v>812</v>
      </c>
      <c r="BL131" s="47" t="s">
        <v>813</v>
      </c>
      <c r="BM131" s="47" t="s">
        <v>814</v>
      </c>
      <c r="BN131" s="47" t="s">
        <v>815</v>
      </c>
    </row>
    <row r="132" spans="30:66" x14ac:dyDescent="0.25">
      <c r="AD132" s="23" t="s">
        <v>287</v>
      </c>
      <c r="AE132" s="48">
        <f t="shared" ref="AE132:BN132" ca="1" si="100">$O$49/2</f>
        <v>20</v>
      </c>
      <c r="AF132" s="48">
        <f t="shared" ca="1" si="100"/>
        <v>20</v>
      </c>
      <c r="AG132" s="48">
        <f t="shared" ca="1" si="100"/>
        <v>20</v>
      </c>
      <c r="AH132" s="48">
        <f t="shared" ca="1" si="100"/>
        <v>20</v>
      </c>
      <c r="AI132" s="48">
        <f t="shared" ca="1" si="100"/>
        <v>20</v>
      </c>
      <c r="AJ132" s="48">
        <f t="shared" ca="1" si="100"/>
        <v>20</v>
      </c>
      <c r="AK132" s="48">
        <f t="shared" ca="1" si="100"/>
        <v>20</v>
      </c>
      <c r="AL132" s="48">
        <f t="shared" ca="1" si="100"/>
        <v>20</v>
      </c>
      <c r="AM132" s="48">
        <f t="shared" ca="1" si="100"/>
        <v>20</v>
      </c>
      <c r="AN132" s="48">
        <f t="shared" ca="1" si="100"/>
        <v>20</v>
      </c>
      <c r="AO132" s="48">
        <f t="shared" ca="1" si="100"/>
        <v>20</v>
      </c>
      <c r="AP132" s="48">
        <f t="shared" ca="1" si="100"/>
        <v>20</v>
      </c>
      <c r="AQ132" s="48">
        <f t="shared" ca="1" si="100"/>
        <v>20</v>
      </c>
      <c r="AR132" s="48">
        <f t="shared" ca="1" si="100"/>
        <v>20</v>
      </c>
      <c r="AS132" s="48">
        <f t="shared" ca="1" si="100"/>
        <v>20</v>
      </c>
      <c r="AT132" s="48">
        <f t="shared" ca="1" si="100"/>
        <v>20</v>
      </c>
      <c r="AU132" s="48">
        <f t="shared" ca="1" si="100"/>
        <v>20</v>
      </c>
      <c r="AV132" s="48">
        <f t="shared" ca="1" si="100"/>
        <v>20</v>
      </c>
      <c r="AW132" s="48">
        <f t="shared" ca="1" si="100"/>
        <v>20</v>
      </c>
      <c r="AX132" s="48">
        <f t="shared" ca="1" si="100"/>
        <v>20</v>
      </c>
      <c r="AY132" s="48">
        <f t="shared" ca="1" si="100"/>
        <v>20</v>
      </c>
      <c r="AZ132" s="48">
        <f t="shared" ca="1" si="100"/>
        <v>20</v>
      </c>
      <c r="BA132" s="48">
        <f t="shared" ca="1" si="100"/>
        <v>20</v>
      </c>
      <c r="BB132" s="48">
        <f t="shared" ca="1" si="100"/>
        <v>20</v>
      </c>
      <c r="BC132" s="48">
        <f t="shared" ca="1" si="100"/>
        <v>20</v>
      </c>
      <c r="BD132" s="48">
        <f t="shared" ca="1" si="100"/>
        <v>20</v>
      </c>
      <c r="BE132" s="48">
        <f t="shared" ca="1" si="100"/>
        <v>20</v>
      </c>
      <c r="BF132" s="48">
        <f t="shared" ca="1" si="100"/>
        <v>20</v>
      </c>
      <c r="BG132" s="48">
        <f t="shared" ca="1" si="100"/>
        <v>20</v>
      </c>
      <c r="BH132" s="48">
        <f t="shared" ca="1" si="100"/>
        <v>20</v>
      </c>
      <c r="BI132" s="48">
        <f t="shared" ca="1" si="100"/>
        <v>20</v>
      </c>
      <c r="BJ132" s="48">
        <f t="shared" ca="1" si="100"/>
        <v>20</v>
      </c>
      <c r="BK132" s="48">
        <f t="shared" ca="1" si="100"/>
        <v>20</v>
      </c>
      <c r="BL132" s="48">
        <f t="shared" ca="1" si="100"/>
        <v>20</v>
      </c>
      <c r="BM132" s="48">
        <f t="shared" ca="1" si="100"/>
        <v>20</v>
      </c>
      <c r="BN132" s="48">
        <f t="shared" ca="1" si="100"/>
        <v>20</v>
      </c>
    </row>
    <row r="133" spans="30:66" x14ac:dyDescent="0.25">
      <c r="AD133" s="23" t="s">
        <v>284</v>
      </c>
      <c r="AE133" s="48">
        <f t="shared" ref="AE133:BN133" si="101">$D$25</f>
        <v>260330.3</v>
      </c>
      <c r="AF133" s="48">
        <f t="shared" si="101"/>
        <v>260330.3</v>
      </c>
      <c r="AG133" s="48">
        <f t="shared" si="101"/>
        <v>260330.3</v>
      </c>
      <c r="AH133" s="48">
        <f t="shared" si="101"/>
        <v>260330.3</v>
      </c>
      <c r="AI133" s="48">
        <f t="shared" si="101"/>
        <v>260330.3</v>
      </c>
      <c r="AJ133" s="48">
        <f t="shared" si="101"/>
        <v>260330.3</v>
      </c>
      <c r="AK133" s="48">
        <f t="shared" si="101"/>
        <v>260330.3</v>
      </c>
      <c r="AL133" s="48">
        <f t="shared" si="101"/>
        <v>260330.3</v>
      </c>
      <c r="AM133" s="48">
        <f t="shared" si="101"/>
        <v>260330.3</v>
      </c>
      <c r="AN133" s="48">
        <f t="shared" si="101"/>
        <v>260330.3</v>
      </c>
      <c r="AO133" s="48">
        <f t="shared" si="101"/>
        <v>260330.3</v>
      </c>
      <c r="AP133" s="48">
        <f t="shared" si="101"/>
        <v>260330.3</v>
      </c>
      <c r="AQ133" s="48">
        <f t="shared" si="101"/>
        <v>260330.3</v>
      </c>
      <c r="AR133" s="48">
        <f t="shared" si="101"/>
        <v>260330.3</v>
      </c>
      <c r="AS133" s="48">
        <f t="shared" si="101"/>
        <v>260330.3</v>
      </c>
      <c r="AT133" s="48">
        <f t="shared" si="101"/>
        <v>260330.3</v>
      </c>
      <c r="AU133" s="48">
        <f t="shared" si="101"/>
        <v>260330.3</v>
      </c>
      <c r="AV133" s="48">
        <f t="shared" si="101"/>
        <v>260330.3</v>
      </c>
      <c r="AW133" s="48">
        <f t="shared" si="101"/>
        <v>260330.3</v>
      </c>
      <c r="AX133" s="48">
        <f t="shared" si="101"/>
        <v>260330.3</v>
      </c>
      <c r="AY133" s="48">
        <f t="shared" si="101"/>
        <v>260330.3</v>
      </c>
      <c r="AZ133" s="48">
        <f t="shared" si="101"/>
        <v>260330.3</v>
      </c>
      <c r="BA133" s="48">
        <f t="shared" si="101"/>
        <v>260330.3</v>
      </c>
      <c r="BB133" s="48">
        <f t="shared" si="101"/>
        <v>260330.3</v>
      </c>
      <c r="BC133" s="48">
        <f t="shared" si="101"/>
        <v>260330.3</v>
      </c>
      <c r="BD133" s="48">
        <f t="shared" si="101"/>
        <v>260330.3</v>
      </c>
      <c r="BE133" s="48">
        <f t="shared" si="101"/>
        <v>260330.3</v>
      </c>
      <c r="BF133" s="48">
        <f t="shared" si="101"/>
        <v>260330.3</v>
      </c>
      <c r="BG133" s="48">
        <f t="shared" si="101"/>
        <v>260330.3</v>
      </c>
      <c r="BH133" s="48">
        <f t="shared" si="101"/>
        <v>260330.3</v>
      </c>
      <c r="BI133" s="48">
        <f t="shared" si="101"/>
        <v>260330.3</v>
      </c>
      <c r="BJ133" s="48">
        <f t="shared" si="101"/>
        <v>260330.3</v>
      </c>
      <c r="BK133" s="48">
        <f t="shared" si="101"/>
        <v>260330.3</v>
      </c>
      <c r="BL133" s="48">
        <f t="shared" si="101"/>
        <v>260330.3</v>
      </c>
      <c r="BM133" s="48">
        <f t="shared" si="101"/>
        <v>260330.3</v>
      </c>
      <c r="BN133" s="48">
        <f t="shared" si="101"/>
        <v>260330.3</v>
      </c>
    </row>
    <row r="134" spans="30:66" x14ac:dyDescent="0.25">
      <c r="AD134" s="23" t="s">
        <v>289</v>
      </c>
      <c r="AE134" s="48">
        <f t="shared" ref="AE134:BN134" si="102">$D$26</f>
        <v>800803.59</v>
      </c>
      <c r="AF134" s="48">
        <f t="shared" si="102"/>
        <v>800803.59</v>
      </c>
      <c r="AG134" s="48">
        <f t="shared" si="102"/>
        <v>800803.59</v>
      </c>
      <c r="AH134" s="48">
        <f t="shared" si="102"/>
        <v>800803.59</v>
      </c>
      <c r="AI134" s="48">
        <f t="shared" si="102"/>
        <v>800803.59</v>
      </c>
      <c r="AJ134" s="48">
        <f t="shared" si="102"/>
        <v>800803.59</v>
      </c>
      <c r="AK134" s="48">
        <f t="shared" si="102"/>
        <v>800803.59</v>
      </c>
      <c r="AL134" s="48">
        <f t="shared" si="102"/>
        <v>800803.59</v>
      </c>
      <c r="AM134" s="48">
        <f t="shared" si="102"/>
        <v>800803.59</v>
      </c>
      <c r="AN134" s="48">
        <f t="shared" si="102"/>
        <v>800803.59</v>
      </c>
      <c r="AO134" s="48">
        <f t="shared" si="102"/>
        <v>800803.59</v>
      </c>
      <c r="AP134" s="48">
        <f t="shared" si="102"/>
        <v>800803.59</v>
      </c>
      <c r="AQ134" s="48">
        <f t="shared" si="102"/>
        <v>800803.59</v>
      </c>
      <c r="AR134" s="48">
        <f t="shared" si="102"/>
        <v>800803.59</v>
      </c>
      <c r="AS134" s="48">
        <f t="shared" si="102"/>
        <v>800803.59</v>
      </c>
      <c r="AT134" s="48">
        <f t="shared" si="102"/>
        <v>800803.59</v>
      </c>
      <c r="AU134" s="48">
        <f t="shared" si="102"/>
        <v>800803.59</v>
      </c>
      <c r="AV134" s="48">
        <f t="shared" si="102"/>
        <v>800803.59</v>
      </c>
      <c r="AW134" s="48">
        <f t="shared" si="102"/>
        <v>800803.59</v>
      </c>
      <c r="AX134" s="48">
        <f t="shared" si="102"/>
        <v>800803.59</v>
      </c>
      <c r="AY134" s="48">
        <f t="shared" si="102"/>
        <v>800803.59</v>
      </c>
      <c r="AZ134" s="48">
        <f t="shared" si="102"/>
        <v>800803.59</v>
      </c>
      <c r="BA134" s="48">
        <f t="shared" si="102"/>
        <v>800803.59</v>
      </c>
      <c r="BB134" s="48">
        <f t="shared" si="102"/>
        <v>800803.59</v>
      </c>
      <c r="BC134" s="48">
        <f t="shared" si="102"/>
        <v>800803.59</v>
      </c>
      <c r="BD134" s="48">
        <f t="shared" si="102"/>
        <v>800803.59</v>
      </c>
      <c r="BE134" s="48">
        <f t="shared" si="102"/>
        <v>800803.59</v>
      </c>
      <c r="BF134" s="48">
        <f t="shared" si="102"/>
        <v>800803.59</v>
      </c>
      <c r="BG134" s="48">
        <f t="shared" si="102"/>
        <v>800803.59</v>
      </c>
      <c r="BH134" s="48">
        <f t="shared" si="102"/>
        <v>800803.59</v>
      </c>
      <c r="BI134" s="48">
        <f t="shared" si="102"/>
        <v>800803.59</v>
      </c>
      <c r="BJ134" s="48">
        <f t="shared" si="102"/>
        <v>800803.59</v>
      </c>
      <c r="BK134" s="48">
        <f t="shared" si="102"/>
        <v>800803.59</v>
      </c>
      <c r="BL134" s="48">
        <f t="shared" si="102"/>
        <v>800803.59</v>
      </c>
      <c r="BM134" s="48">
        <f t="shared" si="102"/>
        <v>800803.59</v>
      </c>
      <c r="BN134" s="48">
        <f t="shared" si="102"/>
        <v>800803.59</v>
      </c>
    </row>
    <row r="135" spans="30:66" x14ac:dyDescent="0.25">
      <c r="AD135" s="23" t="s">
        <v>294</v>
      </c>
      <c r="AE135" s="48">
        <v>0</v>
      </c>
      <c r="AF135" s="48">
        <f>AE135+10</f>
        <v>10</v>
      </c>
      <c r="AG135" s="48">
        <f t="shared" ref="AG135:BN135" si="103">AF135+10</f>
        <v>20</v>
      </c>
      <c r="AH135" s="48">
        <f t="shared" si="103"/>
        <v>30</v>
      </c>
      <c r="AI135" s="48">
        <f t="shared" si="103"/>
        <v>40</v>
      </c>
      <c r="AJ135" s="48">
        <f t="shared" si="103"/>
        <v>50</v>
      </c>
      <c r="AK135" s="48">
        <f t="shared" si="103"/>
        <v>60</v>
      </c>
      <c r="AL135" s="48">
        <f t="shared" si="103"/>
        <v>70</v>
      </c>
      <c r="AM135" s="48">
        <f t="shared" si="103"/>
        <v>80</v>
      </c>
      <c r="AN135" s="48">
        <f t="shared" si="103"/>
        <v>90</v>
      </c>
      <c r="AO135" s="48">
        <f t="shared" si="103"/>
        <v>100</v>
      </c>
      <c r="AP135" s="48">
        <f t="shared" si="103"/>
        <v>110</v>
      </c>
      <c r="AQ135" s="48">
        <f t="shared" si="103"/>
        <v>120</v>
      </c>
      <c r="AR135" s="48">
        <f t="shared" si="103"/>
        <v>130</v>
      </c>
      <c r="AS135" s="48">
        <f t="shared" si="103"/>
        <v>140</v>
      </c>
      <c r="AT135" s="48">
        <f t="shared" si="103"/>
        <v>150</v>
      </c>
      <c r="AU135" s="48">
        <f t="shared" si="103"/>
        <v>160</v>
      </c>
      <c r="AV135" s="48">
        <f t="shared" si="103"/>
        <v>170</v>
      </c>
      <c r="AW135" s="48">
        <f t="shared" si="103"/>
        <v>180</v>
      </c>
      <c r="AX135" s="48">
        <f t="shared" si="103"/>
        <v>190</v>
      </c>
      <c r="AY135" s="48">
        <f t="shared" si="103"/>
        <v>200</v>
      </c>
      <c r="AZ135" s="48">
        <f t="shared" si="103"/>
        <v>210</v>
      </c>
      <c r="BA135" s="48">
        <f t="shared" si="103"/>
        <v>220</v>
      </c>
      <c r="BB135" s="48">
        <f t="shared" si="103"/>
        <v>230</v>
      </c>
      <c r="BC135" s="48">
        <f t="shared" si="103"/>
        <v>240</v>
      </c>
      <c r="BD135" s="48">
        <f t="shared" si="103"/>
        <v>250</v>
      </c>
      <c r="BE135" s="48">
        <f t="shared" si="103"/>
        <v>260</v>
      </c>
      <c r="BF135" s="48">
        <f t="shared" si="103"/>
        <v>270</v>
      </c>
      <c r="BG135" s="48">
        <f t="shared" si="103"/>
        <v>280</v>
      </c>
      <c r="BH135" s="48">
        <f t="shared" si="103"/>
        <v>290</v>
      </c>
      <c r="BI135" s="48">
        <f t="shared" si="103"/>
        <v>300</v>
      </c>
      <c r="BJ135" s="48">
        <f t="shared" si="103"/>
        <v>310</v>
      </c>
      <c r="BK135" s="48">
        <f t="shared" si="103"/>
        <v>320</v>
      </c>
      <c r="BL135" s="48">
        <f t="shared" si="103"/>
        <v>330</v>
      </c>
      <c r="BM135" s="48">
        <f t="shared" si="103"/>
        <v>340</v>
      </c>
      <c r="BN135" s="48">
        <f t="shared" si="103"/>
        <v>350</v>
      </c>
    </row>
    <row r="136" spans="30:66" x14ac:dyDescent="0.25">
      <c r="AD136" s="23"/>
      <c r="AE136" s="48">
        <f t="shared" ref="AE136:BN136" ca="1" si="104">ROUND((AE132/6076.115489),15)</f>
        <v>3.2915766720049999E-3</v>
      </c>
      <c r="AF136" s="48">
        <f t="shared" ca="1" si="104"/>
        <v>3.2915766720049999E-3</v>
      </c>
      <c r="AG136" s="48">
        <f t="shared" ca="1" si="104"/>
        <v>3.2915766720049999E-3</v>
      </c>
      <c r="AH136" s="48">
        <f t="shared" ca="1" si="104"/>
        <v>3.2915766720049999E-3</v>
      </c>
      <c r="AI136" s="48">
        <f t="shared" ca="1" si="104"/>
        <v>3.2915766720049999E-3</v>
      </c>
      <c r="AJ136" s="48">
        <f t="shared" ca="1" si="104"/>
        <v>3.2915766720049999E-3</v>
      </c>
      <c r="AK136" s="48">
        <f t="shared" ca="1" si="104"/>
        <v>3.2915766720049999E-3</v>
      </c>
      <c r="AL136" s="48">
        <f t="shared" ca="1" si="104"/>
        <v>3.2915766720049999E-3</v>
      </c>
      <c r="AM136" s="48">
        <f t="shared" ca="1" si="104"/>
        <v>3.2915766720049999E-3</v>
      </c>
      <c r="AN136" s="48">
        <f t="shared" ca="1" si="104"/>
        <v>3.2915766720049999E-3</v>
      </c>
      <c r="AO136" s="48">
        <f t="shared" ca="1" si="104"/>
        <v>3.2915766720049999E-3</v>
      </c>
      <c r="AP136" s="48">
        <f t="shared" ca="1" si="104"/>
        <v>3.2915766720049999E-3</v>
      </c>
      <c r="AQ136" s="48">
        <f t="shared" ca="1" si="104"/>
        <v>3.2915766720049999E-3</v>
      </c>
      <c r="AR136" s="48">
        <f t="shared" ca="1" si="104"/>
        <v>3.2915766720049999E-3</v>
      </c>
      <c r="AS136" s="48">
        <f t="shared" ca="1" si="104"/>
        <v>3.2915766720049999E-3</v>
      </c>
      <c r="AT136" s="48">
        <f t="shared" ca="1" si="104"/>
        <v>3.2915766720049999E-3</v>
      </c>
      <c r="AU136" s="48">
        <f t="shared" ca="1" si="104"/>
        <v>3.2915766720049999E-3</v>
      </c>
      <c r="AV136" s="48">
        <f t="shared" ca="1" si="104"/>
        <v>3.2915766720049999E-3</v>
      </c>
      <c r="AW136" s="48">
        <f t="shared" ca="1" si="104"/>
        <v>3.2915766720049999E-3</v>
      </c>
      <c r="AX136" s="48">
        <f t="shared" ca="1" si="104"/>
        <v>3.2915766720049999E-3</v>
      </c>
      <c r="AY136" s="48">
        <f t="shared" ca="1" si="104"/>
        <v>3.2915766720049999E-3</v>
      </c>
      <c r="AZ136" s="48">
        <f t="shared" ca="1" si="104"/>
        <v>3.2915766720049999E-3</v>
      </c>
      <c r="BA136" s="48">
        <f t="shared" ca="1" si="104"/>
        <v>3.2915766720049999E-3</v>
      </c>
      <c r="BB136" s="48">
        <f t="shared" ca="1" si="104"/>
        <v>3.2915766720049999E-3</v>
      </c>
      <c r="BC136" s="48">
        <f t="shared" ca="1" si="104"/>
        <v>3.2915766720049999E-3</v>
      </c>
      <c r="BD136" s="48">
        <f t="shared" ca="1" si="104"/>
        <v>3.2915766720049999E-3</v>
      </c>
      <c r="BE136" s="48">
        <f t="shared" ca="1" si="104"/>
        <v>3.2915766720049999E-3</v>
      </c>
      <c r="BF136" s="48">
        <f t="shared" ca="1" si="104"/>
        <v>3.2915766720049999E-3</v>
      </c>
      <c r="BG136" s="48">
        <f t="shared" ca="1" si="104"/>
        <v>3.2915766720049999E-3</v>
      </c>
      <c r="BH136" s="48">
        <f t="shared" ca="1" si="104"/>
        <v>3.2915766720049999E-3</v>
      </c>
      <c r="BI136" s="48">
        <f t="shared" ca="1" si="104"/>
        <v>3.2915766720049999E-3</v>
      </c>
      <c r="BJ136" s="48">
        <f t="shared" ca="1" si="104"/>
        <v>3.2915766720049999E-3</v>
      </c>
      <c r="BK136" s="48">
        <f t="shared" ca="1" si="104"/>
        <v>3.2915766720049999E-3</v>
      </c>
      <c r="BL136" s="48">
        <f t="shared" ca="1" si="104"/>
        <v>3.2915766720049999E-3</v>
      </c>
      <c r="BM136" s="48">
        <f t="shared" ca="1" si="104"/>
        <v>3.2915766720049999E-3</v>
      </c>
      <c r="BN136" s="48">
        <f t="shared" ca="1" si="104"/>
        <v>3.2915766720049999E-3</v>
      </c>
    </row>
    <row r="137" spans="30:66" x14ac:dyDescent="0.25">
      <c r="AD137" s="23"/>
      <c r="AE137" s="48">
        <f>ROUND((((ROUND(((((((AE133)-((TRUNC(AE133/100))*100))/60)+(TRUNC(AE133/100))-((TRUNC(AE133/10000))*100))/60)+((TRUNC(AE133/10000))))*1000000,2))/1000000)*(PI()/180)),15)</f>
        <v>0.45480516874807703</v>
      </c>
      <c r="AF137" s="48">
        <f t="shared" ref="AF137:BN137" si="105">ROUND((((ROUND(((((((AF133)-((TRUNC(AF133/100))*100))/60)+(TRUNC(AF133/100))-((TRUNC(AF133/10000))*100))/60)+((TRUNC(AF133/10000))))*1000000,2))/1000000)*(PI()/180)),15)</f>
        <v>0.45480516874807703</v>
      </c>
      <c r="AG137" s="48">
        <f t="shared" si="105"/>
        <v>0.45480516874807703</v>
      </c>
      <c r="AH137" s="48">
        <f t="shared" si="105"/>
        <v>0.45480516874807703</v>
      </c>
      <c r="AI137" s="48">
        <f t="shared" si="105"/>
        <v>0.45480516874807703</v>
      </c>
      <c r="AJ137" s="48">
        <f t="shared" si="105"/>
        <v>0.45480516874807703</v>
      </c>
      <c r="AK137" s="48">
        <f t="shared" si="105"/>
        <v>0.45480516874807703</v>
      </c>
      <c r="AL137" s="48">
        <f t="shared" si="105"/>
        <v>0.45480516874807703</v>
      </c>
      <c r="AM137" s="48">
        <f t="shared" si="105"/>
        <v>0.45480516874807703</v>
      </c>
      <c r="AN137" s="48">
        <f t="shared" si="105"/>
        <v>0.45480516874807703</v>
      </c>
      <c r="AO137" s="48">
        <f t="shared" si="105"/>
        <v>0.45480516874807703</v>
      </c>
      <c r="AP137" s="48">
        <f t="shared" si="105"/>
        <v>0.45480516874807703</v>
      </c>
      <c r="AQ137" s="48">
        <f t="shared" si="105"/>
        <v>0.45480516874807703</v>
      </c>
      <c r="AR137" s="48">
        <f t="shared" si="105"/>
        <v>0.45480516874807703</v>
      </c>
      <c r="AS137" s="48">
        <f t="shared" si="105"/>
        <v>0.45480516874807703</v>
      </c>
      <c r="AT137" s="48">
        <f t="shared" si="105"/>
        <v>0.45480516874807703</v>
      </c>
      <c r="AU137" s="48">
        <f t="shared" si="105"/>
        <v>0.45480516874807703</v>
      </c>
      <c r="AV137" s="48">
        <f t="shared" si="105"/>
        <v>0.45480516874807703</v>
      </c>
      <c r="AW137" s="48">
        <f t="shared" si="105"/>
        <v>0.45480516874807703</v>
      </c>
      <c r="AX137" s="48">
        <f t="shared" si="105"/>
        <v>0.45480516874807703</v>
      </c>
      <c r="AY137" s="48">
        <f t="shared" si="105"/>
        <v>0.45480516874807703</v>
      </c>
      <c r="AZ137" s="48">
        <f t="shared" si="105"/>
        <v>0.45480516874807703</v>
      </c>
      <c r="BA137" s="48">
        <f t="shared" si="105"/>
        <v>0.45480516874807703</v>
      </c>
      <c r="BB137" s="48">
        <f t="shared" si="105"/>
        <v>0.45480516874807703</v>
      </c>
      <c r="BC137" s="48">
        <f t="shared" si="105"/>
        <v>0.45480516874807703</v>
      </c>
      <c r="BD137" s="48">
        <f t="shared" si="105"/>
        <v>0.45480516874807703</v>
      </c>
      <c r="BE137" s="48">
        <f t="shared" si="105"/>
        <v>0.45480516874807703</v>
      </c>
      <c r="BF137" s="48">
        <f t="shared" si="105"/>
        <v>0.45480516874807703</v>
      </c>
      <c r="BG137" s="48">
        <f t="shared" si="105"/>
        <v>0.45480516874807703</v>
      </c>
      <c r="BH137" s="48">
        <f t="shared" si="105"/>
        <v>0.45480516874807703</v>
      </c>
      <c r="BI137" s="48">
        <f t="shared" si="105"/>
        <v>0.45480516874807703</v>
      </c>
      <c r="BJ137" s="48">
        <f t="shared" si="105"/>
        <v>0.45480516874807703</v>
      </c>
      <c r="BK137" s="48">
        <f t="shared" si="105"/>
        <v>0.45480516874807703</v>
      </c>
      <c r="BL137" s="48">
        <f t="shared" si="105"/>
        <v>0.45480516874807703</v>
      </c>
      <c r="BM137" s="48">
        <f t="shared" si="105"/>
        <v>0.45480516874807703</v>
      </c>
      <c r="BN137" s="48">
        <f t="shared" si="105"/>
        <v>0.45480516874807703</v>
      </c>
    </row>
    <row r="138" spans="30:66" x14ac:dyDescent="0.25">
      <c r="AD138" s="23"/>
      <c r="AE138" s="48">
        <f>ROUND((((ROUND(((((((AE134)-((TRUNC(AE134/100))*100))/60)+(TRUNC(AE134/100))-((TRUNC(AE134/10000))*100))/60)+((TRUNC(AE134/10000))))*1000000,2))/1000000)*(PI()/180)),15)</f>
        <v>1.39860791215351</v>
      </c>
      <c r="AF138" s="48">
        <f t="shared" ref="AF138:BN138" si="106">ROUND((((ROUND(((((((AF134)-((TRUNC(AF134/100))*100))/60)+(TRUNC(AF134/100))-((TRUNC(AF134/10000))*100))/60)+((TRUNC(AF134/10000))))*1000000,2))/1000000)*(PI()/180)),15)</f>
        <v>1.39860791215351</v>
      </c>
      <c r="AG138" s="48">
        <f t="shared" si="106"/>
        <v>1.39860791215351</v>
      </c>
      <c r="AH138" s="48">
        <f t="shared" si="106"/>
        <v>1.39860791215351</v>
      </c>
      <c r="AI138" s="48">
        <f t="shared" si="106"/>
        <v>1.39860791215351</v>
      </c>
      <c r="AJ138" s="48">
        <f t="shared" si="106"/>
        <v>1.39860791215351</v>
      </c>
      <c r="AK138" s="48">
        <f t="shared" si="106"/>
        <v>1.39860791215351</v>
      </c>
      <c r="AL138" s="48">
        <f t="shared" si="106"/>
        <v>1.39860791215351</v>
      </c>
      <c r="AM138" s="48">
        <f t="shared" si="106"/>
        <v>1.39860791215351</v>
      </c>
      <c r="AN138" s="48">
        <f t="shared" si="106"/>
        <v>1.39860791215351</v>
      </c>
      <c r="AO138" s="48">
        <f t="shared" si="106"/>
        <v>1.39860791215351</v>
      </c>
      <c r="AP138" s="48">
        <f t="shared" si="106"/>
        <v>1.39860791215351</v>
      </c>
      <c r="AQ138" s="48">
        <f t="shared" si="106"/>
        <v>1.39860791215351</v>
      </c>
      <c r="AR138" s="48">
        <f t="shared" si="106"/>
        <v>1.39860791215351</v>
      </c>
      <c r="AS138" s="48">
        <f t="shared" si="106"/>
        <v>1.39860791215351</v>
      </c>
      <c r="AT138" s="48">
        <f t="shared" si="106"/>
        <v>1.39860791215351</v>
      </c>
      <c r="AU138" s="48">
        <f t="shared" si="106"/>
        <v>1.39860791215351</v>
      </c>
      <c r="AV138" s="48">
        <f t="shared" si="106"/>
        <v>1.39860791215351</v>
      </c>
      <c r="AW138" s="48">
        <f t="shared" si="106"/>
        <v>1.39860791215351</v>
      </c>
      <c r="AX138" s="48">
        <f t="shared" si="106"/>
        <v>1.39860791215351</v>
      </c>
      <c r="AY138" s="48">
        <f t="shared" si="106"/>
        <v>1.39860791215351</v>
      </c>
      <c r="AZ138" s="48">
        <f t="shared" si="106"/>
        <v>1.39860791215351</v>
      </c>
      <c r="BA138" s="48">
        <f t="shared" si="106"/>
        <v>1.39860791215351</v>
      </c>
      <c r="BB138" s="48">
        <f t="shared" si="106"/>
        <v>1.39860791215351</v>
      </c>
      <c r="BC138" s="48">
        <f t="shared" si="106"/>
        <v>1.39860791215351</v>
      </c>
      <c r="BD138" s="48">
        <f t="shared" si="106"/>
        <v>1.39860791215351</v>
      </c>
      <c r="BE138" s="48">
        <f t="shared" si="106"/>
        <v>1.39860791215351</v>
      </c>
      <c r="BF138" s="48">
        <f t="shared" si="106"/>
        <v>1.39860791215351</v>
      </c>
      <c r="BG138" s="48">
        <f t="shared" si="106"/>
        <v>1.39860791215351</v>
      </c>
      <c r="BH138" s="48">
        <f t="shared" si="106"/>
        <v>1.39860791215351</v>
      </c>
      <c r="BI138" s="48">
        <f t="shared" si="106"/>
        <v>1.39860791215351</v>
      </c>
      <c r="BJ138" s="48">
        <f t="shared" si="106"/>
        <v>1.39860791215351</v>
      </c>
      <c r="BK138" s="48">
        <f t="shared" si="106"/>
        <v>1.39860791215351</v>
      </c>
      <c r="BL138" s="48">
        <f t="shared" si="106"/>
        <v>1.39860791215351</v>
      </c>
      <c r="BM138" s="48">
        <f t="shared" si="106"/>
        <v>1.39860791215351</v>
      </c>
      <c r="BN138" s="48">
        <f t="shared" si="106"/>
        <v>1.39860791215351</v>
      </c>
    </row>
    <row r="139" spans="30:66" x14ac:dyDescent="0.25">
      <c r="AD139" s="23"/>
      <c r="AE139" s="48">
        <f>ROUND((((((AE135-(TRUNC(AE135)))*0.6)*100)-(TRUNC(((AE135-(TRUNC(AE135)))*0.6)*100)))*0.006)+(TRUNC(AE135)+((TRUNC(((AE135-(TRUNC(AE135)))*0.6)*100))/100)),15)</f>
        <v>0</v>
      </c>
      <c r="AF139" s="48">
        <f t="shared" ref="AF139:BN139" si="107">ROUND((((((AF135-(TRUNC(AF135)))*0.6)*100)-(TRUNC(((AF135-(TRUNC(AF135)))*0.6)*100)))*0.006)+(TRUNC(AF135)+((TRUNC(((AF135-(TRUNC(AF135)))*0.6)*100))/100)),15)</f>
        <v>10</v>
      </c>
      <c r="AG139" s="48">
        <f t="shared" si="107"/>
        <v>20</v>
      </c>
      <c r="AH139" s="48">
        <f t="shared" si="107"/>
        <v>30</v>
      </c>
      <c r="AI139" s="48">
        <f t="shared" si="107"/>
        <v>40</v>
      </c>
      <c r="AJ139" s="48">
        <f t="shared" si="107"/>
        <v>50</v>
      </c>
      <c r="AK139" s="48">
        <f t="shared" si="107"/>
        <v>60</v>
      </c>
      <c r="AL139" s="48">
        <f t="shared" si="107"/>
        <v>70</v>
      </c>
      <c r="AM139" s="48">
        <f t="shared" si="107"/>
        <v>80</v>
      </c>
      <c r="AN139" s="48">
        <f t="shared" si="107"/>
        <v>90</v>
      </c>
      <c r="AO139" s="48">
        <f t="shared" si="107"/>
        <v>100</v>
      </c>
      <c r="AP139" s="48">
        <f t="shared" si="107"/>
        <v>110</v>
      </c>
      <c r="AQ139" s="48">
        <f t="shared" si="107"/>
        <v>120</v>
      </c>
      <c r="AR139" s="48">
        <f t="shared" si="107"/>
        <v>130</v>
      </c>
      <c r="AS139" s="48">
        <f t="shared" si="107"/>
        <v>140</v>
      </c>
      <c r="AT139" s="48">
        <f t="shared" si="107"/>
        <v>150</v>
      </c>
      <c r="AU139" s="48">
        <f t="shared" si="107"/>
        <v>160</v>
      </c>
      <c r="AV139" s="48">
        <f t="shared" si="107"/>
        <v>170</v>
      </c>
      <c r="AW139" s="48">
        <f t="shared" si="107"/>
        <v>180</v>
      </c>
      <c r="AX139" s="48">
        <f t="shared" si="107"/>
        <v>190</v>
      </c>
      <c r="AY139" s="48">
        <f t="shared" si="107"/>
        <v>200</v>
      </c>
      <c r="AZ139" s="48">
        <f t="shared" si="107"/>
        <v>210</v>
      </c>
      <c r="BA139" s="48">
        <f t="shared" si="107"/>
        <v>220</v>
      </c>
      <c r="BB139" s="48">
        <f t="shared" si="107"/>
        <v>230</v>
      </c>
      <c r="BC139" s="48">
        <f t="shared" si="107"/>
        <v>240</v>
      </c>
      <c r="BD139" s="48">
        <f t="shared" si="107"/>
        <v>250</v>
      </c>
      <c r="BE139" s="48">
        <f t="shared" si="107"/>
        <v>260</v>
      </c>
      <c r="BF139" s="48">
        <f t="shared" si="107"/>
        <v>270</v>
      </c>
      <c r="BG139" s="48">
        <f t="shared" si="107"/>
        <v>280</v>
      </c>
      <c r="BH139" s="48">
        <f t="shared" si="107"/>
        <v>290</v>
      </c>
      <c r="BI139" s="48">
        <f t="shared" si="107"/>
        <v>300</v>
      </c>
      <c r="BJ139" s="48">
        <f t="shared" si="107"/>
        <v>310</v>
      </c>
      <c r="BK139" s="48">
        <f t="shared" si="107"/>
        <v>320</v>
      </c>
      <c r="BL139" s="48">
        <f t="shared" si="107"/>
        <v>330</v>
      </c>
      <c r="BM139" s="48">
        <f t="shared" si="107"/>
        <v>340</v>
      </c>
      <c r="BN139" s="48">
        <f t="shared" si="107"/>
        <v>350</v>
      </c>
    </row>
    <row r="140" spans="30:66" x14ac:dyDescent="0.25">
      <c r="AD140" s="23"/>
      <c r="AE140" s="48">
        <f>ROUND((AE135*(PI()/180)),15)</f>
        <v>0</v>
      </c>
      <c r="AF140" s="48">
        <f t="shared" ref="AF140:BN140" si="108">ROUND((AF135*(PI()/180)),15)</f>
        <v>0.174532925199433</v>
      </c>
      <c r="AG140" s="48">
        <f t="shared" si="108"/>
        <v>0.34906585039886601</v>
      </c>
      <c r="AH140" s="48">
        <f t="shared" si="108"/>
        <v>0.52359877559829904</v>
      </c>
      <c r="AI140" s="48">
        <f t="shared" si="108"/>
        <v>0.69813170079773201</v>
      </c>
      <c r="AJ140" s="48">
        <f t="shared" si="108"/>
        <v>0.87266462599716499</v>
      </c>
      <c r="AK140" s="48">
        <f t="shared" si="108"/>
        <v>1.0471975511966001</v>
      </c>
      <c r="AL140" s="48">
        <f t="shared" si="108"/>
        <v>1.2217304763960299</v>
      </c>
      <c r="AM140" s="48">
        <f t="shared" si="108"/>
        <v>1.39626340159546</v>
      </c>
      <c r="AN140" s="48">
        <f t="shared" si="108"/>
        <v>1.5707963267949001</v>
      </c>
      <c r="AO140" s="48">
        <f t="shared" si="108"/>
        <v>1.74532925199433</v>
      </c>
      <c r="AP140" s="48">
        <f t="shared" si="108"/>
        <v>1.9198621771937601</v>
      </c>
      <c r="AQ140" s="48">
        <f t="shared" si="108"/>
        <v>2.0943951023932001</v>
      </c>
      <c r="AR140" s="48">
        <f t="shared" si="108"/>
        <v>2.2689280275926298</v>
      </c>
      <c r="AS140" s="48">
        <f t="shared" si="108"/>
        <v>2.4434609527920599</v>
      </c>
      <c r="AT140" s="48">
        <f t="shared" si="108"/>
        <v>2.61799387799149</v>
      </c>
      <c r="AU140" s="48">
        <f t="shared" si="108"/>
        <v>2.7925268031909298</v>
      </c>
      <c r="AV140" s="48">
        <f t="shared" si="108"/>
        <v>2.9670597283903599</v>
      </c>
      <c r="AW140" s="48">
        <f t="shared" si="108"/>
        <v>3.14159265358979</v>
      </c>
      <c r="AX140" s="48">
        <f t="shared" si="108"/>
        <v>3.3161255787892299</v>
      </c>
      <c r="AY140" s="48">
        <f t="shared" si="108"/>
        <v>3.49065850398866</v>
      </c>
      <c r="AZ140" s="48">
        <f t="shared" si="108"/>
        <v>3.66519142918809</v>
      </c>
      <c r="BA140" s="48">
        <f t="shared" si="108"/>
        <v>3.8397243543875299</v>
      </c>
      <c r="BB140" s="48">
        <f t="shared" si="108"/>
        <v>4.0142572795869604</v>
      </c>
      <c r="BC140" s="48">
        <f t="shared" si="108"/>
        <v>4.1887902047863896</v>
      </c>
      <c r="BD140" s="48">
        <f t="shared" si="108"/>
        <v>4.3633231299858197</v>
      </c>
      <c r="BE140" s="48">
        <f t="shared" si="108"/>
        <v>4.5378560551852596</v>
      </c>
      <c r="BF140" s="48">
        <f t="shared" si="108"/>
        <v>4.7123889803846897</v>
      </c>
      <c r="BG140" s="48">
        <f t="shared" si="108"/>
        <v>4.8869219055841198</v>
      </c>
      <c r="BH140" s="48">
        <f t="shared" si="108"/>
        <v>5.0614548307835596</v>
      </c>
      <c r="BI140" s="48">
        <f t="shared" si="108"/>
        <v>5.2359877559829897</v>
      </c>
      <c r="BJ140" s="48">
        <f t="shared" si="108"/>
        <v>5.4105206811824198</v>
      </c>
      <c r="BK140" s="48">
        <f t="shared" si="108"/>
        <v>5.5850536063818499</v>
      </c>
      <c r="BL140" s="48">
        <f t="shared" si="108"/>
        <v>5.7595865315812897</v>
      </c>
      <c r="BM140" s="48">
        <f t="shared" si="108"/>
        <v>5.9341194567807198</v>
      </c>
      <c r="BN140" s="48">
        <f t="shared" si="108"/>
        <v>6.1086523819801499</v>
      </c>
    </row>
    <row r="141" spans="30:66" x14ac:dyDescent="0.25">
      <c r="AD141" s="23"/>
      <c r="AE141" s="48">
        <f t="shared" ref="AE141:BN141" ca="1" si="109">ROUND(((AE136*1852)/6399598.4),15)</f>
        <v>9.5255977299999997E-7</v>
      </c>
      <c r="AF141" s="48">
        <f t="shared" ca="1" si="109"/>
        <v>9.5255977299999997E-7</v>
      </c>
      <c r="AG141" s="48">
        <f t="shared" ca="1" si="109"/>
        <v>9.5255977299999997E-7</v>
      </c>
      <c r="AH141" s="48">
        <f t="shared" ca="1" si="109"/>
        <v>9.5255977299999997E-7</v>
      </c>
      <c r="AI141" s="48">
        <f t="shared" ca="1" si="109"/>
        <v>9.5255977299999997E-7</v>
      </c>
      <c r="AJ141" s="48">
        <f t="shared" ca="1" si="109"/>
        <v>9.5255977299999997E-7</v>
      </c>
      <c r="AK141" s="48">
        <f t="shared" ca="1" si="109"/>
        <v>9.5255977299999997E-7</v>
      </c>
      <c r="AL141" s="48">
        <f t="shared" ca="1" si="109"/>
        <v>9.5255977299999997E-7</v>
      </c>
      <c r="AM141" s="48">
        <f t="shared" ca="1" si="109"/>
        <v>9.5255977299999997E-7</v>
      </c>
      <c r="AN141" s="48">
        <f t="shared" ca="1" si="109"/>
        <v>9.5255977299999997E-7</v>
      </c>
      <c r="AO141" s="48">
        <f t="shared" ca="1" si="109"/>
        <v>9.5255977299999997E-7</v>
      </c>
      <c r="AP141" s="48">
        <f t="shared" ca="1" si="109"/>
        <v>9.5255977299999997E-7</v>
      </c>
      <c r="AQ141" s="48">
        <f t="shared" ca="1" si="109"/>
        <v>9.5255977299999997E-7</v>
      </c>
      <c r="AR141" s="48">
        <f t="shared" ca="1" si="109"/>
        <v>9.5255977299999997E-7</v>
      </c>
      <c r="AS141" s="48">
        <f t="shared" ca="1" si="109"/>
        <v>9.5255977299999997E-7</v>
      </c>
      <c r="AT141" s="48">
        <f t="shared" ca="1" si="109"/>
        <v>9.5255977299999997E-7</v>
      </c>
      <c r="AU141" s="48">
        <f t="shared" ca="1" si="109"/>
        <v>9.5255977299999997E-7</v>
      </c>
      <c r="AV141" s="48">
        <f t="shared" ca="1" si="109"/>
        <v>9.5255977299999997E-7</v>
      </c>
      <c r="AW141" s="48">
        <f t="shared" ca="1" si="109"/>
        <v>9.5255977299999997E-7</v>
      </c>
      <c r="AX141" s="48">
        <f t="shared" ca="1" si="109"/>
        <v>9.5255977299999997E-7</v>
      </c>
      <c r="AY141" s="48">
        <f t="shared" ca="1" si="109"/>
        <v>9.5255977299999997E-7</v>
      </c>
      <c r="AZ141" s="48">
        <f t="shared" ca="1" si="109"/>
        <v>9.5255977299999997E-7</v>
      </c>
      <c r="BA141" s="48">
        <f t="shared" ca="1" si="109"/>
        <v>9.5255977299999997E-7</v>
      </c>
      <c r="BB141" s="48">
        <f t="shared" ca="1" si="109"/>
        <v>9.5255977299999997E-7</v>
      </c>
      <c r="BC141" s="48">
        <f t="shared" ca="1" si="109"/>
        <v>9.5255977299999997E-7</v>
      </c>
      <c r="BD141" s="48">
        <f t="shared" ca="1" si="109"/>
        <v>9.5255977299999997E-7</v>
      </c>
      <c r="BE141" s="48">
        <f t="shared" ca="1" si="109"/>
        <v>9.5255977299999997E-7</v>
      </c>
      <c r="BF141" s="48">
        <f t="shared" ca="1" si="109"/>
        <v>9.5255977299999997E-7</v>
      </c>
      <c r="BG141" s="48">
        <f t="shared" ca="1" si="109"/>
        <v>9.5255977299999997E-7</v>
      </c>
      <c r="BH141" s="48">
        <f t="shared" ca="1" si="109"/>
        <v>9.5255977299999997E-7</v>
      </c>
      <c r="BI141" s="48">
        <f t="shared" ca="1" si="109"/>
        <v>9.5255977299999997E-7</v>
      </c>
      <c r="BJ141" s="48">
        <f t="shared" ca="1" si="109"/>
        <v>9.5255977299999997E-7</v>
      </c>
      <c r="BK141" s="48">
        <f t="shared" ca="1" si="109"/>
        <v>9.5255977299999997E-7</v>
      </c>
      <c r="BL141" s="48">
        <f t="shared" ca="1" si="109"/>
        <v>9.5255977299999997E-7</v>
      </c>
      <c r="BM141" s="48">
        <f t="shared" ca="1" si="109"/>
        <v>9.5255977299999997E-7</v>
      </c>
      <c r="BN141" s="48">
        <f t="shared" ca="1" si="109"/>
        <v>9.5255977299999997E-7</v>
      </c>
    </row>
    <row r="142" spans="30:66" x14ac:dyDescent="0.25">
      <c r="AE142" s="48">
        <f t="shared" ref="AE142:BN142" ca="1" si="110">ROUND(((((COS(((((AE136*1852)/6399598.4)*(COS(AE140)))/2)+AE137))*(COS(((((AE136*1852)/6399598.4)*(COS(AE140)))/2)+AE137)))/148.38)+1),15)</f>
        <v>1.0054389155919501</v>
      </c>
      <c r="AF142" s="48">
        <f t="shared" ca="1" si="110"/>
        <v>1.00543891563044</v>
      </c>
      <c r="AG142" s="48">
        <f t="shared" ca="1" si="110"/>
        <v>1.0054389157447401</v>
      </c>
      <c r="AH142" s="48">
        <f t="shared" ca="1" si="110"/>
        <v>1.0054389159313699</v>
      </c>
      <c r="AI142" s="48">
        <f t="shared" ca="1" si="110"/>
        <v>1.00543891618467</v>
      </c>
      <c r="AJ142" s="48">
        <f t="shared" ca="1" si="110"/>
        <v>1.00543891649693</v>
      </c>
      <c r="AK142" s="48">
        <f t="shared" ca="1" si="110"/>
        <v>1.0054389168586699</v>
      </c>
      <c r="AL142" s="48">
        <f t="shared" ca="1" si="110"/>
        <v>1.0054389172589</v>
      </c>
      <c r="AM142" s="48">
        <f t="shared" ca="1" si="110"/>
        <v>1.0054389176854599</v>
      </c>
      <c r="AN142" s="48">
        <f t="shared" ca="1" si="110"/>
        <v>1.00543891812539</v>
      </c>
      <c r="AO142" s="48">
        <f t="shared" ca="1" si="110"/>
        <v>1.0054389185653101</v>
      </c>
      <c r="AP142" s="48">
        <f t="shared" ca="1" si="110"/>
        <v>1.00543891899187</v>
      </c>
      <c r="AQ142" s="48">
        <f t="shared" ca="1" si="110"/>
        <v>1.0054389193921101</v>
      </c>
      <c r="AR142" s="48">
        <f t="shared" ca="1" si="110"/>
        <v>1.00543891975385</v>
      </c>
      <c r="AS142" s="48">
        <f t="shared" ca="1" si="110"/>
        <v>1.00543892006611</v>
      </c>
      <c r="AT142" s="48">
        <f t="shared" ca="1" si="110"/>
        <v>1.0054389203194101</v>
      </c>
      <c r="AU142" s="48">
        <f t="shared" ca="1" si="110"/>
        <v>1.0054389205060399</v>
      </c>
      <c r="AV142" s="48">
        <f t="shared" ca="1" si="110"/>
        <v>1.00543892062033</v>
      </c>
      <c r="AW142" s="48">
        <f t="shared" ca="1" si="110"/>
        <v>1.0054389206588199</v>
      </c>
      <c r="AX142" s="48">
        <f t="shared" ca="1" si="110"/>
        <v>1.00543892062033</v>
      </c>
      <c r="AY142" s="48">
        <f t="shared" ca="1" si="110"/>
        <v>1.0054389205060399</v>
      </c>
      <c r="AZ142" s="48">
        <f t="shared" ca="1" si="110"/>
        <v>1.0054389203194101</v>
      </c>
      <c r="BA142" s="48">
        <f t="shared" ca="1" si="110"/>
        <v>1.00543892006611</v>
      </c>
      <c r="BB142" s="48">
        <f t="shared" ca="1" si="110"/>
        <v>1.00543891975385</v>
      </c>
      <c r="BC142" s="48">
        <f t="shared" ca="1" si="110"/>
        <v>1.0054389193921101</v>
      </c>
      <c r="BD142" s="48">
        <f t="shared" ca="1" si="110"/>
        <v>1.00543891899187</v>
      </c>
      <c r="BE142" s="48">
        <f t="shared" ca="1" si="110"/>
        <v>1.0054389185653101</v>
      </c>
      <c r="BF142" s="48">
        <f t="shared" ca="1" si="110"/>
        <v>1.00543891812539</v>
      </c>
      <c r="BG142" s="48">
        <f t="shared" ca="1" si="110"/>
        <v>1.0054389176854599</v>
      </c>
      <c r="BH142" s="48">
        <f t="shared" ca="1" si="110"/>
        <v>1.0054389172589</v>
      </c>
      <c r="BI142" s="48">
        <f t="shared" ca="1" si="110"/>
        <v>1.0054389168586699</v>
      </c>
      <c r="BJ142" s="48">
        <f t="shared" ca="1" si="110"/>
        <v>1.00543891649693</v>
      </c>
      <c r="BK142" s="48">
        <f t="shared" ca="1" si="110"/>
        <v>1.00543891618467</v>
      </c>
      <c r="BL142" s="48">
        <f t="shared" ca="1" si="110"/>
        <v>1.0054389159313699</v>
      </c>
      <c r="BM142" s="48">
        <f t="shared" ca="1" si="110"/>
        <v>1.0054389157447401</v>
      </c>
      <c r="BN142" s="48">
        <f t="shared" ca="1" si="110"/>
        <v>1.00543891563044</v>
      </c>
    </row>
    <row r="143" spans="30:66" x14ac:dyDescent="0.25">
      <c r="AE143" s="48">
        <f t="shared" ref="AE143:BN143" ca="1" si="111">((AE142*AE142)*(AE141*AE141))*(SIN(AE140))*(COS(AE140))</f>
        <v>0</v>
      </c>
      <c r="AF143" s="48">
        <f t="shared" ca="1" si="111"/>
        <v>1.5686192650232233E-13</v>
      </c>
      <c r="AG143" s="48">
        <f t="shared" ca="1" si="111"/>
        <v>2.9480398970001537E-13</v>
      </c>
      <c r="AH143" s="48">
        <f t="shared" ca="1" si="111"/>
        <v>3.9718834100816415E-13</v>
      </c>
      <c r="AI143" s="48">
        <f t="shared" ca="1" si="111"/>
        <v>4.5166591663325526E-13</v>
      </c>
      <c r="AJ143" s="48">
        <f t="shared" ca="1" si="111"/>
        <v>4.5166591691380369E-13</v>
      </c>
      <c r="AK143" s="48">
        <f t="shared" ca="1" si="111"/>
        <v>3.9718834174080384E-13</v>
      </c>
      <c r="AL143" s="48">
        <f t="shared" ca="1" si="111"/>
        <v>2.9480399058794726E-13</v>
      </c>
      <c r="AM143" s="48">
        <f t="shared" ca="1" si="111"/>
        <v>1.5686192714354667E-13</v>
      </c>
      <c r="AN143" s="48">
        <f t="shared" ca="1" si="111"/>
        <v>-3.2025982564422161E-27</v>
      </c>
      <c r="AO143" s="48">
        <f t="shared" ca="1" si="111"/>
        <v>-1.5686192741808072E-13</v>
      </c>
      <c r="AP143" s="48">
        <f t="shared" ca="1" si="111"/>
        <v>-2.9480399160419065E-13</v>
      </c>
      <c r="AQ143" s="48">
        <f t="shared" ca="1" si="111"/>
        <v>-3.9718834374242598E-13</v>
      </c>
      <c r="AR143" s="48">
        <f t="shared" ca="1" si="111"/>
        <v>-4.5166591983996833E-13</v>
      </c>
      <c r="AS143" s="48">
        <f t="shared" ca="1" si="111"/>
        <v>-4.5166592012051685E-13</v>
      </c>
      <c r="AT143" s="48">
        <f t="shared" ca="1" si="111"/>
        <v>-3.9718834447506667E-13</v>
      </c>
      <c r="AU143" s="48">
        <f t="shared" ca="1" si="111"/>
        <v>-2.9480399249212789E-13</v>
      </c>
      <c r="AV143" s="48">
        <f t="shared" ca="1" si="111"/>
        <v>-1.568619280593019E-13</v>
      </c>
      <c r="AW143" s="48">
        <f t="shared" ca="1" si="111"/>
        <v>-2.9638180827710287E-27</v>
      </c>
      <c r="AX143" s="48">
        <f t="shared" ca="1" si="111"/>
        <v>1.5686192805930478E-13</v>
      </c>
      <c r="AY143" s="48">
        <f t="shared" ca="1" si="111"/>
        <v>2.9480399249213021E-13</v>
      </c>
      <c r="AZ143" s="48">
        <f t="shared" ca="1" si="111"/>
        <v>3.9718834447506374E-13</v>
      </c>
      <c r="BA143" s="48">
        <f t="shared" ca="1" si="111"/>
        <v>4.5166592012051741E-13</v>
      </c>
      <c r="BB143" s="48">
        <f t="shared" ca="1" si="111"/>
        <v>4.5166591983996783E-13</v>
      </c>
      <c r="BC143" s="48">
        <f t="shared" ca="1" si="111"/>
        <v>3.9718834374242451E-13</v>
      </c>
      <c r="BD143" s="48">
        <f t="shared" ca="1" si="111"/>
        <v>2.9480399160419534E-13</v>
      </c>
      <c r="BE143" s="48">
        <f t="shared" ca="1" si="111"/>
        <v>1.5686192741807804E-13</v>
      </c>
      <c r="BF143" s="48">
        <f t="shared" ca="1" si="111"/>
        <v>1.6856827142407713E-28</v>
      </c>
      <c r="BG143" s="48">
        <f t="shared" ca="1" si="111"/>
        <v>-1.5686192714354092E-13</v>
      </c>
      <c r="BH143" s="48">
        <f t="shared" ca="1" si="111"/>
        <v>-2.9480399058794949E-13</v>
      </c>
      <c r="BI143" s="48">
        <f t="shared" ca="1" si="111"/>
        <v>-3.9718834174080535E-13</v>
      </c>
      <c r="BJ143" s="48">
        <f t="shared" ca="1" si="111"/>
        <v>-4.5166591691380348E-13</v>
      </c>
      <c r="BK143" s="48">
        <f t="shared" ca="1" si="111"/>
        <v>-4.5166591663325602E-13</v>
      </c>
      <c r="BL143" s="48">
        <f t="shared" ca="1" si="111"/>
        <v>-3.9718834100816309E-13</v>
      </c>
      <c r="BM143" s="48">
        <f t="shared" ca="1" si="111"/>
        <v>-2.9480398970001583E-13</v>
      </c>
      <c r="BN143" s="48">
        <f t="shared" ca="1" si="111"/>
        <v>-1.5686192650232541E-13</v>
      </c>
    </row>
    <row r="144" spans="30:66" x14ac:dyDescent="0.25">
      <c r="AE144" s="48">
        <f t="shared" ref="AE144:BN144" ca="1" si="112">((((AE136*1852)/6399598.4)*(COS(AE140)))/2)+AE137</f>
        <v>0.45480564502796333</v>
      </c>
      <c r="AF144" s="48">
        <f t="shared" ca="1" si="112"/>
        <v>0.45480563779220168</v>
      </c>
      <c r="AG144" s="48">
        <f t="shared" ca="1" si="112"/>
        <v>0.45480561630477162</v>
      </c>
      <c r="AH144" s="48">
        <f t="shared" ca="1" si="112"/>
        <v>0.45480558121855785</v>
      </c>
      <c r="AI144" s="48">
        <f t="shared" ca="1" si="112"/>
        <v>0.45480553359963727</v>
      </c>
      <c r="AJ144" s="48">
        <f t="shared" ca="1" si="112"/>
        <v>0.45480547489488665</v>
      </c>
      <c r="AK144" s="48">
        <f t="shared" ca="1" si="112"/>
        <v>0.45480540688802018</v>
      </c>
      <c r="AL144" s="48">
        <f t="shared" ca="1" si="112"/>
        <v>0.454805331645392</v>
      </c>
      <c r="AM144" s="48">
        <f t="shared" ca="1" si="112"/>
        <v>0.45480525145321132</v>
      </c>
      <c r="AN144" s="48">
        <f t="shared" ca="1" si="112"/>
        <v>0.45480516874807703</v>
      </c>
      <c r="AO144" s="48">
        <f t="shared" ca="1" si="112"/>
        <v>0.45480508604294273</v>
      </c>
      <c r="AP144" s="48">
        <f t="shared" ca="1" si="112"/>
        <v>0.45480500585076206</v>
      </c>
      <c r="AQ144" s="48">
        <f t="shared" ca="1" si="112"/>
        <v>0.45480493060813387</v>
      </c>
      <c r="AR144" s="48">
        <f t="shared" ca="1" si="112"/>
        <v>0.4548048626012674</v>
      </c>
      <c r="AS144" s="48">
        <f t="shared" ca="1" si="112"/>
        <v>0.45480480389651678</v>
      </c>
      <c r="AT144" s="48">
        <f t="shared" ca="1" si="112"/>
        <v>0.4548047562775962</v>
      </c>
      <c r="AU144" s="48">
        <f t="shared" ca="1" si="112"/>
        <v>0.45480472119138243</v>
      </c>
      <c r="AV144" s="48">
        <f t="shared" ca="1" si="112"/>
        <v>0.45480469970395238</v>
      </c>
      <c r="AW144" s="48">
        <f t="shared" ca="1" si="112"/>
        <v>0.45480469246819072</v>
      </c>
      <c r="AX144" s="48">
        <f t="shared" ca="1" si="112"/>
        <v>0.45480469970395238</v>
      </c>
      <c r="AY144" s="48">
        <f t="shared" ca="1" si="112"/>
        <v>0.45480472119138243</v>
      </c>
      <c r="AZ144" s="48">
        <f t="shared" ca="1" si="112"/>
        <v>0.4548047562775962</v>
      </c>
      <c r="BA144" s="48">
        <f t="shared" ca="1" si="112"/>
        <v>0.45480480389651678</v>
      </c>
      <c r="BB144" s="48">
        <f t="shared" ca="1" si="112"/>
        <v>0.4548048626012674</v>
      </c>
      <c r="BC144" s="48">
        <f t="shared" ca="1" si="112"/>
        <v>0.45480493060813387</v>
      </c>
      <c r="BD144" s="48">
        <f t="shared" ca="1" si="112"/>
        <v>0.45480500585076206</v>
      </c>
      <c r="BE144" s="48">
        <f t="shared" ca="1" si="112"/>
        <v>0.45480508604294273</v>
      </c>
      <c r="BF144" s="48">
        <f t="shared" ca="1" si="112"/>
        <v>0.45480516874807703</v>
      </c>
      <c r="BG144" s="48">
        <f t="shared" ca="1" si="112"/>
        <v>0.45480525145321132</v>
      </c>
      <c r="BH144" s="48">
        <f t="shared" ca="1" si="112"/>
        <v>0.454805331645392</v>
      </c>
      <c r="BI144" s="48">
        <f t="shared" ca="1" si="112"/>
        <v>0.45480540688802018</v>
      </c>
      <c r="BJ144" s="48">
        <f t="shared" ca="1" si="112"/>
        <v>0.45480547489488665</v>
      </c>
      <c r="BK144" s="48">
        <f t="shared" ca="1" si="112"/>
        <v>0.45480553359963727</v>
      </c>
      <c r="BL144" s="48">
        <f t="shared" ca="1" si="112"/>
        <v>0.45480558121855785</v>
      </c>
      <c r="BM144" s="48">
        <f t="shared" ca="1" si="112"/>
        <v>0.45480561630477162</v>
      </c>
      <c r="BN144" s="48">
        <f t="shared" ca="1" si="112"/>
        <v>0.45480563779220168</v>
      </c>
    </row>
    <row r="145" spans="30:66" x14ac:dyDescent="0.25">
      <c r="AD145" s="23"/>
      <c r="AE145" s="48">
        <f t="shared" ref="AE145:BN145" ca="1" si="113">((TAN((AE144-AE137)+AE144))*AE143)*(TAN(AE140))</f>
        <v>0</v>
      </c>
      <c r="AF145" s="48">
        <f t="shared" ca="1" si="113"/>
        <v>1.3525148678999546E-14</v>
      </c>
      <c r="AG145" s="48">
        <f t="shared" ca="1" si="113"/>
        <v>5.2469256473489686E-14</v>
      </c>
      <c r="AH145" s="48">
        <f t="shared" ca="1" si="113"/>
        <v>1.1213507356383407E-13</v>
      </c>
      <c r="AI145" s="48">
        <f t="shared" ca="1" si="113"/>
        <v>1.853260001419766E-13</v>
      </c>
      <c r="AJ145" s="48">
        <f t="shared" ca="1" si="113"/>
        <v>2.6321410794496511E-13</v>
      </c>
      <c r="AK145" s="48">
        <f t="shared" ca="1" si="113"/>
        <v>3.3640492409548545E-13</v>
      </c>
      <c r="AL145" s="48">
        <f t="shared" ca="1" si="113"/>
        <v>3.9607054717279927E-13</v>
      </c>
      <c r="AM145" s="48">
        <f t="shared" ca="1" si="113"/>
        <v>4.3501442394438028E-13</v>
      </c>
      <c r="AN145" s="48">
        <f t="shared" ca="1" si="113"/>
        <v>4.4853935858393999E-13</v>
      </c>
      <c r="AO145" s="48">
        <f t="shared" ca="1" si="113"/>
        <v>4.3501406003295256E-13</v>
      </c>
      <c r="AP145" s="48">
        <f t="shared" ca="1" si="113"/>
        <v>3.9606989457461434E-13</v>
      </c>
      <c r="AQ145" s="48">
        <f t="shared" ca="1" si="113"/>
        <v>3.364041137806107E-13</v>
      </c>
      <c r="AR145" s="48">
        <f t="shared" ca="1" si="113"/>
        <v>2.6321329286921126E-13</v>
      </c>
      <c r="AS145" s="48">
        <f t="shared" ca="1" si="113"/>
        <v>1.8532531621221102E-13</v>
      </c>
      <c r="AT145" s="48">
        <f t="shared" ca="1" si="113"/>
        <v>1.1213460572832478E-13</v>
      </c>
      <c r="AU145" s="48">
        <f t="shared" ca="1" si="113"/>
        <v>5.2469018947174759E-14</v>
      </c>
      <c r="AV145" s="48">
        <f t="shared" ca="1" si="113"/>
        <v>1.3525084511596511E-14</v>
      </c>
      <c r="AW145" s="48">
        <f t="shared" ca="1" si="113"/>
        <v>4.6828568133330369E-42</v>
      </c>
      <c r="AX145" s="48">
        <f t="shared" ca="1" si="113"/>
        <v>1.3525084511597022E-14</v>
      </c>
      <c r="AY145" s="48">
        <f t="shared" ca="1" si="113"/>
        <v>5.2469018947175712E-14</v>
      </c>
      <c r="AZ145" s="48">
        <f t="shared" ca="1" si="113"/>
        <v>1.1213460572832226E-13</v>
      </c>
      <c r="BA145" s="48">
        <f t="shared" ca="1" si="113"/>
        <v>1.8532531621221251E-13</v>
      </c>
      <c r="BB145" s="48">
        <f t="shared" ca="1" si="113"/>
        <v>2.6321329286921297E-13</v>
      </c>
      <c r="BC145" s="48">
        <f t="shared" ca="1" si="113"/>
        <v>3.3640411378061202E-13</v>
      </c>
      <c r="BD145" s="48">
        <f t="shared" ca="1" si="113"/>
        <v>3.9606989457461237E-13</v>
      </c>
      <c r="BE145" s="48">
        <f t="shared" ca="1" si="113"/>
        <v>4.3501406003295301E-13</v>
      </c>
      <c r="BF145" s="48">
        <f t="shared" ca="1" si="113"/>
        <v>4.4853935858393994E-13</v>
      </c>
      <c r="BG145" s="48">
        <f t="shared" ca="1" si="113"/>
        <v>4.3501442394438123E-13</v>
      </c>
      <c r="BH145" s="48">
        <f t="shared" ca="1" si="113"/>
        <v>3.9607054717279841E-13</v>
      </c>
      <c r="BI145" s="48">
        <f t="shared" ca="1" si="113"/>
        <v>3.3640492409548424E-13</v>
      </c>
      <c r="BJ145" s="48">
        <f t="shared" ca="1" si="113"/>
        <v>2.6321410794496587E-13</v>
      </c>
      <c r="BK145" s="48">
        <f t="shared" ca="1" si="113"/>
        <v>1.8532600014197865E-13</v>
      </c>
      <c r="BL145" s="48">
        <f t="shared" ca="1" si="113"/>
        <v>1.1213507356383319E-13</v>
      </c>
      <c r="BM145" s="48">
        <f t="shared" ca="1" si="113"/>
        <v>5.2469256473489876E-14</v>
      </c>
      <c r="BN145" s="48">
        <f t="shared" ca="1" si="113"/>
        <v>1.352514867900009E-14</v>
      </c>
    </row>
    <row r="146" spans="30:66" x14ac:dyDescent="0.25">
      <c r="AD146" s="23"/>
      <c r="AE146" s="48">
        <f t="shared" ref="AE146:BN146" ca="1" si="114">ROUND((((((COS(AE140-(AE143/3)))*AE141)*(SQRT(AE142))*((AE142)))-(AE145/2))+AE137),15)</f>
        <v>0.45480612908974599</v>
      </c>
      <c r="AF146" s="48">
        <f t="shared" ca="1" si="114"/>
        <v>0.45480611449999098</v>
      </c>
      <c r="AG146" s="48">
        <f t="shared" ca="1" si="114"/>
        <v>0.45480607117402999</v>
      </c>
      <c r="AH146" s="48">
        <f t="shared" ca="1" si="114"/>
        <v>0.45480600042830299</v>
      </c>
      <c r="AI146" s="48">
        <f t="shared" ca="1" si="114"/>
        <v>0.454805904412384</v>
      </c>
      <c r="AJ146" s="48">
        <f t="shared" ca="1" si="114"/>
        <v>0.454805786043672</v>
      </c>
      <c r="AK146" s="48">
        <f t="shared" ca="1" si="114"/>
        <v>0.45480564891874398</v>
      </c>
      <c r="AL146" s="48">
        <f t="shared" ca="1" si="114"/>
        <v>0.45480549720407498</v>
      </c>
      <c r="AM146" s="48">
        <f t="shared" ca="1" si="114"/>
        <v>0.45480533550944102</v>
      </c>
      <c r="AN146" s="48">
        <f t="shared" ca="1" si="114"/>
        <v>0.45480516874785298</v>
      </c>
      <c r="AO146" s="48">
        <f t="shared" ca="1" si="114"/>
        <v>0.45480500198627799</v>
      </c>
      <c r="AP146" s="48">
        <f t="shared" ca="1" si="114"/>
        <v>0.454804840291682</v>
      </c>
      <c r="AQ146" s="48">
        <f t="shared" ca="1" si="114"/>
        <v>0.45480468857707201</v>
      </c>
      <c r="AR146" s="48">
        <f t="shared" ca="1" si="114"/>
        <v>0.45480455145221599</v>
      </c>
      <c r="AS146" s="48">
        <f t="shared" ca="1" si="114"/>
        <v>0.45480443308358098</v>
      </c>
      <c r="AT146" s="48">
        <f t="shared" ca="1" si="114"/>
        <v>0.45480433706773399</v>
      </c>
      <c r="AU146" s="48">
        <f t="shared" ca="1" si="114"/>
        <v>0.454804266322065</v>
      </c>
      <c r="AV146" s="48">
        <f t="shared" ca="1" si="114"/>
        <v>0.45480422299614198</v>
      </c>
      <c r="AW146" s="48">
        <f t="shared" ca="1" si="114"/>
        <v>0.45480420840640101</v>
      </c>
      <c r="AX146" s="48">
        <f t="shared" ca="1" si="114"/>
        <v>0.45480422299614198</v>
      </c>
      <c r="AY146" s="48">
        <f t="shared" ca="1" si="114"/>
        <v>0.454804266322065</v>
      </c>
      <c r="AZ146" s="48">
        <f t="shared" ca="1" si="114"/>
        <v>0.45480433706773399</v>
      </c>
      <c r="BA146" s="48">
        <f t="shared" ca="1" si="114"/>
        <v>0.45480443308358098</v>
      </c>
      <c r="BB146" s="48">
        <f t="shared" ca="1" si="114"/>
        <v>0.45480455145221599</v>
      </c>
      <c r="BC146" s="48">
        <f t="shared" ca="1" si="114"/>
        <v>0.45480468857707201</v>
      </c>
      <c r="BD146" s="48">
        <f t="shared" ca="1" si="114"/>
        <v>0.454804840291682</v>
      </c>
      <c r="BE146" s="48">
        <f t="shared" ca="1" si="114"/>
        <v>0.45480500198627799</v>
      </c>
      <c r="BF146" s="48">
        <f t="shared" ca="1" si="114"/>
        <v>0.45480516874785298</v>
      </c>
      <c r="BG146" s="48">
        <f t="shared" ca="1" si="114"/>
        <v>0.45480533550944102</v>
      </c>
      <c r="BH146" s="48">
        <f t="shared" ca="1" si="114"/>
        <v>0.45480549720407498</v>
      </c>
      <c r="BI146" s="48">
        <f t="shared" ca="1" si="114"/>
        <v>0.45480564891874398</v>
      </c>
      <c r="BJ146" s="48">
        <f t="shared" ca="1" si="114"/>
        <v>0.454805786043672</v>
      </c>
      <c r="BK146" s="48">
        <f t="shared" ca="1" si="114"/>
        <v>0.454805904412384</v>
      </c>
      <c r="BL146" s="48">
        <f t="shared" ca="1" si="114"/>
        <v>0.45480600042830299</v>
      </c>
      <c r="BM146" s="48">
        <f t="shared" ca="1" si="114"/>
        <v>0.45480607117402999</v>
      </c>
      <c r="BN146" s="48">
        <f t="shared" ca="1" si="114"/>
        <v>0.45480611449999098</v>
      </c>
    </row>
    <row r="147" spans="30:66" x14ac:dyDescent="0.25">
      <c r="AD147" s="23"/>
      <c r="AE147" s="48">
        <f t="shared" ref="AE147:BN147" ca="1" si="115">ROUND(((AE138-((((SQRT((((COS(AE146))*(COS(AE146)))/148.38)+1))*AE141)*(SIN(AE140-(AE143/6))))/(COS((AE145/6)+AE146))))),15)</f>
        <v>1.39860791215351</v>
      </c>
      <c r="AF147" s="48">
        <f t="shared" ca="1" si="115"/>
        <v>1.3986077275259301</v>
      </c>
      <c r="AG147" s="48">
        <f t="shared" ca="1" si="115"/>
        <v>1.3986075485081799</v>
      </c>
      <c r="AH147" s="48">
        <f t="shared" ca="1" si="115"/>
        <v>1.39860738053962</v>
      </c>
      <c r="AI147" s="48">
        <f t="shared" ca="1" si="115"/>
        <v>1.3986072287239</v>
      </c>
      <c r="AJ147" s="48">
        <f t="shared" ca="1" si="115"/>
        <v>1.39860709767386</v>
      </c>
      <c r="AK147" s="48">
        <f t="shared" ca="1" si="115"/>
        <v>1.3986069913714001</v>
      </c>
      <c r="AL147" s="48">
        <f t="shared" ca="1" si="115"/>
        <v>1.39860691304646</v>
      </c>
      <c r="AM147" s="48">
        <f t="shared" ca="1" si="115"/>
        <v>1.3986068650788901</v>
      </c>
      <c r="AN147" s="48">
        <f t="shared" ca="1" si="115"/>
        <v>1.3986068489261601</v>
      </c>
      <c r="AO147" s="48">
        <f t="shared" ca="1" si="115"/>
        <v>1.39860686507906</v>
      </c>
      <c r="AP147" s="48">
        <f t="shared" ca="1" si="115"/>
        <v>1.39860691304678</v>
      </c>
      <c r="AQ147" s="48">
        <f t="shared" ca="1" si="115"/>
        <v>1.39860699137183</v>
      </c>
      <c r="AR147" s="48">
        <f t="shared" ca="1" si="115"/>
        <v>1.3986070976743501</v>
      </c>
      <c r="AS147" s="48">
        <f t="shared" ca="1" si="115"/>
        <v>1.39860722872439</v>
      </c>
      <c r="AT147" s="48">
        <f t="shared" ca="1" si="115"/>
        <v>1.3986073805400501</v>
      </c>
      <c r="AU147" s="48">
        <f t="shared" ca="1" si="115"/>
        <v>1.3986075485085001</v>
      </c>
      <c r="AV147" s="48">
        <f t="shared" ca="1" si="115"/>
        <v>1.3986077275261</v>
      </c>
      <c r="AW147" s="48">
        <f t="shared" ca="1" si="115"/>
        <v>1.39860791215351</v>
      </c>
      <c r="AX147" s="48">
        <f t="shared" ca="1" si="115"/>
        <v>1.39860809678092</v>
      </c>
      <c r="AY147" s="48">
        <f t="shared" ca="1" si="115"/>
        <v>1.3986082757985201</v>
      </c>
      <c r="AZ147" s="48">
        <f t="shared" ca="1" si="115"/>
        <v>1.3986084437669699</v>
      </c>
      <c r="BA147" s="48">
        <f t="shared" ca="1" si="115"/>
        <v>1.39860859558263</v>
      </c>
      <c r="BB147" s="48">
        <f t="shared" ca="1" si="115"/>
        <v>1.3986087266326701</v>
      </c>
      <c r="BC147" s="48">
        <f t="shared" ca="1" si="115"/>
        <v>1.39860883293519</v>
      </c>
      <c r="BD147" s="48">
        <f t="shared" ca="1" si="115"/>
        <v>1.39860891126024</v>
      </c>
      <c r="BE147" s="48">
        <f t="shared" ca="1" si="115"/>
        <v>1.39860895922796</v>
      </c>
      <c r="BF147" s="48">
        <f t="shared" ca="1" si="115"/>
        <v>1.3986089753808599</v>
      </c>
      <c r="BG147" s="48">
        <f t="shared" ca="1" si="115"/>
        <v>1.3986089592281301</v>
      </c>
      <c r="BH147" s="48">
        <f t="shared" ca="1" si="115"/>
        <v>1.39860891126056</v>
      </c>
      <c r="BI147" s="48">
        <f t="shared" ca="1" si="115"/>
        <v>1.3986088329356201</v>
      </c>
      <c r="BJ147" s="48">
        <f t="shared" ca="1" si="115"/>
        <v>1.3986087266331599</v>
      </c>
      <c r="BK147" s="48">
        <f t="shared" ca="1" si="115"/>
        <v>1.39860859558312</v>
      </c>
      <c r="BL147" s="48">
        <f t="shared" ca="1" si="115"/>
        <v>1.3986084437674</v>
      </c>
      <c r="BM147" s="48">
        <f t="shared" ca="1" si="115"/>
        <v>1.3986082757988401</v>
      </c>
      <c r="BN147" s="48">
        <f t="shared" ca="1" si="115"/>
        <v>1.3986080967810901</v>
      </c>
    </row>
    <row r="148" spans="30:66" x14ac:dyDescent="0.25">
      <c r="AD148" s="23"/>
      <c r="AE148" s="48">
        <f t="shared" ref="AE148:BN148" ca="1" si="116">ROUND((((((((((SQRT((((COS(AE146))*(COS(AE146)))/148.38)+1))*AE141)*(SIN(AE140-(AE143/6))))/(COS((AE145/6)+AE145)))*(SIN((AE145/3)+AE145)))-(AE143/2))-PI())+AE140)+(PI()+PI())),15)</f>
        <v>3.14159265358979</v>
      </c>
      <c r="AF148" s="48">
        <f t="shared" ca="1" si="116"/>
        <v>3.3161255787891499</v>
      </c>
      <c r="AG148" s="48">
        <f t="shared" ca="1" si="116"/>
        <v>3.4906585039885099</v>
      </c>
      <c r="AH148" s="48">
        <f t="shared" ca="1" si="116"/>
        <v>3.6651914291878902</v>
      </c>
      <c r="AI148" s="48">
        <f t="shared" ca="1" si="116"/>
        <v>3.8397243543872999</v>
      </c>
      <c r="AJ148" s="48">
        <f t="shared" ca="1" si="116"/>
        <v>4.0142572795867304</v>
      </c>
      <c r="AK148" s="48">
        <f t="shared" ca="1" si="116"/>
        <v>4.1887902047861898</v>
      </c>
      <c r="AL148" s="48">
        <f t="shared" ca="1" si="116"/>
        <v>4.3633231299856803</v>
      </c>
      <c r="AM148" s="48">
        <f t="shared" ca="1" si="116"/>
        <v>4.5378560551851699</v>
      </c>
      <c r="AN148" s="48">
        <f t="shared" ca="1" si="116"/>
        <v>4.7123889803846897</v>
      </c>
      <c r="AO148" s="48">
        <f t="shared" ca="1" si="116"/>
        <v>4.8869219055841997</v>
      </c>
      <c r="AP148" s="48">
        <f t="shared" ca="1" si="116"/>
        <v>5.0614548307837</v>
      </c>
      <c r="AQ148" s="48">
        <f t="shared" ca="1" si="116"/>
        <v>5.2359877559831904</v>
      </c>
      <c r="AR148" s="48">
        <f t="shared" ca="1" si="116"/>
        <v>5.4105206811826498</v>
      </c>
      <c r="AS148" s="48">
        <f t="shared" ca="1" si="116"/>
        <v>5.5850536063820799</v>
      </c>
      <c r="AT148" s="48">
        <f t="shared" ca="1" si="116"/>
        <v>5.7595865315814798</v>
      </c>
      <c r="AU148" s="48">
        <f t="shared" ca="1" si="116"/>
        <v>5.9341194567808699</v>
      </c>
      <c r="AV148" s="48">
        <f t="shared" ca="1" si="116"/>
        <v>6.1086523819802299</v>
      </c>
      <c r="AW148" s="48">
        <f t="shared" ca="1" si="116"/>
        <v>6.28318530717958</v>
      </c>
      <c r="AX148" s="48">
        <f t="shared" ca="1" si="116"/>
        <v>6.4577182323789399</v>
      </c>
      <c r="AY148" s="48">
        <f t="shared" ca="1" si="116"/>
        <v>6.6322511575783096</v>
      </c>
      <c r="AZ148" s="48">
        <f t="shared" ca="1" si="116"/>
        <v>6.8067840827776802</v>
      </c>
      <c r="BA148" s="48">
        <f t="shared" ca="1" si="116"/>
        <v>6.9813170079770996</v>
      </c>
      <c r="BB148" s="48">
        <f t="shared" ca="1" si="116"/>
        <v>7.1558499331765297</v>
      </c>
      <c r="BC148" s="48">
        <f t="shared" ca="1" si="116"/>
        <v>7.3303828583759802</v>
      </c>
      <c r="BD148" s="48">
        <f t="shared" ca="1" si="116"/>
        <v>7.5049157835754698</v>
      </c>
      <c r="BE148" s="48">
        <f t="shared" ca="1" si="116"/>
        <v>7.6794487087749701</v>
      </c>
      <c r="BF148" s="48">
        <f t="shared" ca="1" si="116"/>
        <v>7.8539816339744801</v>
      </c>
      <c r="BG148" s="48">
        <f t="shared" ca="1" si="116"/>
        <v>8.0285145591739902</v>
      </c>
      <c r="BH148" s="48">
        <f t="shared" ca="1" si="116"/>
        <v>8.2030474843734993</v>
      </c>
      <c r="BI148" s="48">
        <f t="shared" ca="1" si="116"/>
        <v>8.37758040957298</v>
      </c>
      <c r="BJ148" s="48">
        <f t="shared" ca="1" si="116"/>
        <v>8.5521133347724394</v>
      </c>
      <c r="BK148" s="48">
        <f t="shared" ca="1" si="116"/>
        <v>8.7266462599718704</v>
      </c>
      <c r="BL148" s="48">
        <f t="shared" ca="1" si="116"/>
        <v>8.90117918517128</v>
      </c>
      <c r="BM148" s="48">
        <f t="shared" ca="1" si="116"/>
        <v>9.0757121103706595</v>
      </c>
      <c r="BN148" s="48">
        <f t="shared" ca="1" si="116"/>
        <v>9.2502450355700194</v>
      </c>
    </row>
    <row r="149" spans="30:66" x14ac:dyDescent="0.25">
      <c r="AD149" s="23" t="s">
        <v>304</v>
      </c>
      <c r="AE149" s="48">
        <f t="shared" ref="AE149:BN149" ca="1" si="117">(AE146*(180/PI()))</f>
        <v>26.058471693524542</v>
      </c>
      <c r="AF149" s="48">
        <f t="shared" ca="1" si="117"/>
        <v>26.058470857593157</v>
      </c>
      <c r="AG149" s="48">
        <f t="shared" ca="1" si="117"/>
        <v>26.058468375198448</v>
      </c>
      <c r="AH149" s="48">
        <f t="shared" ca="1" si="117"/>
        <v>26.058464321766873</v>
      </c>
      <c r="AI149" s="48">
        <f t="shared" ca="1" si="117"/>
        <v>26.058458820459947</v>
      </c>
      <c r="AJ149" s="48">
        <f t="shared" ca="1" si="117"/>
        <v>26.058452038432325</v>
      </c>
      <c r="AK149" s="48">
        <f t="shared" ca="1" si="117"/>
        <v>26.058444181752684</v>
      </c>
      <c r="AL149" s="48">
        <f t="shared" ca="1" si="117"/>
        <v>26.058435489142457</v>
      </c>
      <c r="AM149" s="48">
        <f t="shared" ca="1" si="117"/>
        <v>26.058426224722364</v>
      </c>
      <c r="AN149" s="48">
        <f t="shared" ca="1" si="117"/>
        <v>26.058416669987185</v>
      </c>
      <c r="AO149" s="48">
        <f t="shared" ca="1" si="117"/>
        <v>26.058407115252752</v>
      </c>
      <c r="AP149" s="48">
        <f t="shared" ca="1" si="117"/>
        <v>26.058397850834833</v>
      </c>
      <c r="AQ149" s="48">
        <f t="shared" ca="1" si="117"/>
        <v>26.058389158227989</v>
      </c>
      <c r="AR149" s="48">
        <f t="shared" ca="1" si="117"/>
        <v>26.058381301552473</v>
      </c>
      <c r="AS149" s="48">
        <f t="shared" ca="1" si="117"/>
        <v>26.058374519529259</v>
      </c>
      <c r="AT149" s="48">
        <f t="shared" ca="1" si="117"/>
        <v>26.058369018226461</v>
      </c>
      <c r="AU149" s="48">
        <f t="shared" ca="1" si="117"/>
        <v>26.058364964798209</v>
      </c>
      <c r="AV149" s="48">
        <f t="shared" ca="1" si="117"/>
        <v>26.058362482405677</v>
      </c>
      <c r="AW149" s="48">
        <f t="shared" ca="1" si="117"/>
        <v>26.058361646475095</v>
      </c>
      <c r="AX149" s="48">
        <f t="shared" ca="1" si="117"/>
        <v>26.058362482405677</v>
      </c>
      <c r="AY149" s="48">
        <f t="shared" ca="1" si="117"/>
        <v>26.058364964798209</v>
      </c>
      <c r="AZ149" s="48">
        <f t="shared" ca="1" si="117"/>
        <v>26.058369018226461</v>
      </c>
      <c r="BA149" s="48">
        <f t="shared" ca="1" si="117"/>
        <v>26.058374519529259</v>
      </c>
      <c r="BB149" s="48">
        <f t="shared" ca="1" si="117"/>
        <v>26.058381301552473</v>
      </c>
      <c r="BC149" s="48">
        <f t="shared" ca="1" si="117"/>
        <v>26.058389158227989</v>
      </c>
      <c r="BD149" s="48">
        <f t="shared" ca="1" si="117"/>
        <v>26.058397850834833</v>
      </c>
      <c r="BE149" s="48">
        <f t="shared" ca="1" si="117"/>
        <v>26.058407115252752</v>
      </c>
      <c r="BF149" s="48">
        <f t="shared" ca="1" si="117"/>
        <v>26.058416669987185</v>
      </c>
      <c r="BG149" s="48">
        <f t="shared" ca="1" si="117"/>
        <v>26.058426224722364</v>
      </c>
      <c r="BH149" s="48">
        <f t="shared" ca="1" si="117"/>
        <v>26.058435489142457</v>
      </c>
      <c r="BI149" s="48">
        <f t="shared" ca="1" si="117"/>
        <v>26.058444181752684</v>
      </c>
      <c r="BJ149" s="48">
        <f t="shared" ca="1" si="117"/>
        <v>26.058452038432325</v>
      </c>
      <c r="BK149" s="48">
        <f t="shared" ca="1" si="117"/>
        <v>26.058458820459947</v>
      </c>
      <c r="BL149" s="48">
        <f t="shared" ca="1" si="117"/>
        <v>26.058464321766873</v>
      </c>
      <c r="BM149" s="48">
        <f t="shared" ca="1" si="117"/>
        <v>26.058468375198448</v>
      </c>
      <c r="BN149" s="48">
        <f t="shared" ca="1" si="117"/>
        <v>26.058470857593157</v>
      </c>
    </row>
    <row r="150" spans="30:66" x14ac:dyDescent="0.25">
      <c r="AD150" s="23" t="s">
        <v>306</v>
      </c>
      <c r="AE150" s="48">
        <f t="shared" ref="AE150:BN150" ca="1" si="118">(AE147*(180/PI()))</f>
        <v>80.134330559999924</v>
      </c>
      <c r="AF150" s="48">
        <f t="shared" ca="1" si="118"/>
        <v>80.134319981618816</v>
      </c>
      <c r="AG150" s="48">
        <f t="shared" ca="1" si="118"/>
        <v>80.134309724657271</v>
      </c>
      <c r="AH150" s="48">
        <f t="shared" ca="1" si="118"/>
        <v>80.134300100767689</v>
      </c>
      <c r="AI150" s="48">
        <f t="shared" ca="1" si="118"/>
        <v>80.134291402367666</v>
      </c>
      <c r="AJ150" s="48">
        <f t="shared" ca="1" si="118"/>
        <v>80.134283893753476</v>
      </c>
      <c r="AK150" s="48">
        <f t="shared" ca="1" si="118"/>
        <v>80.134277803071171</v>
      </c>
      <c r="AL150" s="48">
        <f t="shared" ca="1" si="118"/>
        <v>80.134273315382671</v>
      </c>
      <c r="AM150" s="48">
        <f t="shared" ca="1" si="118"/>
        <v>80.134270567043359</v>
      </c>
      <c r="AN150" s="48">
        <f t="shared" ca="1" si="118"/>
        <v>80.13426964156011</v>
      </c>
      <c r="AO150" s="48">
        <f t="shared" ca="1" si="118"/>
        <v>80.134270567053093</v>
      </c>
      <c r="AP150" s="48">
        <f t="shared" ca="1" si="118"/>
        <v>80.134273315401003</v>
      </c>
      <c r="AQ150" s="48">
        <f t="shared" ca="1" si="118"/>
        <v>80.134277803095799</v>
      </c>
      <c r="AR150" s="48">
        <f t="shared" ca="1" si="118"/>
        <v>80.134283893781557</v>
      </c>
      <c r="AS150" s="48">
        <f t="shared" ca="1" si="118"/>
        <v>80.134291402395746</v>
      </c>
      <c r="AT150" s="48">
        <f t="shared" ca="1" si="118"/>
        <v>80.134300100792331</v>
      </c>
      <c r="AU150" s="48">
        <f t="shared" ca="1" si="118"/>
        <v>80.134309724675617</v>
      </c>
      <c r="AV150" s="48">
        <f t="shared" ca="1" si="118"/>
        <v>80.134319981628536</v>
      </c>
      <c r="AW150" s="48">
        <f t="shared" ca="1" si="118"/>
        <v>80.134330559999924</v>
      </c>
      <c r="AX150" s="48">
        <f t="shared" ca="1" si="118"/>
        <v>80.134341138371298</v>
      </c>
      <c r="AY150" s="48">
        <f t="shared" ca="1" si="118"/>
        <v>80.134351395324245</v>
      </c>
      <c r="AZ150" s="48">
        <f t="shared" ca="1" si="118"/>
        <v>80.134361019207503</v>
      </c>
      <c r="BA150" s="48">
        <f t="shared" ca="1" si="118"/>
        <v>80.134369717604088</v>
      </c>
      <c r="BB150" s="48">
        <f t="shared" ca="1" si="118"/>
        <v>80.134377226218291</v>
      </c>
      <c r="BC150" s="48">
        <f t="shared" ca="1" si="118"/>
        <v>80.134383316904035</v>
      </c>
      <c r="BD150" s="48">
        <f t="shared" ca="1" si="118"/>
        <v>80.13438780459883</v>
      </c>
      <c r="BE150" s="48">
        <f t="shared" ca="1" si="118"/>
        <v>80.134390552946741</v>
      </c>
      <c r="BF150" s="48">
        <f t="shared" ca="1" si="118"/>
        <v>80.134391478439738</v>
      </c>
      <c r="BG150" s="48">
        <f t="shared" ca="1" si="118"/>
        <v>80.134390552956489</v>
      </c>
      <c r="BH150" s="48">
        <f t="shared" ca="1" si="118"/>
        <v>80.134387804617162</v>
      </c>
      <c r="BI150" s="48">
        <f t="shared" ca="1" si="118"/>
        <v>80.134383316928677</v>
      </c>
      <c r="BJ150" s="48">
        <f t="shared" ca="1" si="118"/>
        <v>80.134377226246357</v>
      </c>
      <c r="BK150" s="48">
        <f t="shared" ca="1" si="118"/>
        <v>80.134369717632168</v>
      </c>
      <c r="BL150" s="48">
        <f t="shared" ca="1" si="118"/>
        <v>80.134361019232145</v>
      </c>
      <c r="BM150" s="48">
        <f t="shared" ca="1" si="118"/>
        <v>80.134351395342577</v>
      </c>
      <c r="BN150" s="48">
        <f t="shared" ca="1" si="118"/>
        <v>80.134341138381046</v>
      </c>
    </row>
    <row r="151" spans="30:66" x14ac:dyDescent="0.25">
      <c r="AD151" s="23" t="s">
        <v>307</v>
      </c>
      <c r="AE151" s="49">
        <f t="shared" ref="AE151:BN151" ca="1" si="119">(ROUND((((((AE149-(TRUNC(AE149)))*0.6)*100)-(TRUNC(((AE149-(TRUNC(AE149)))*0.6)*100)))*0.006)+(TRUNC(AE149)+((TRUNC(((AE149-(TRUNC(AE149)))*0.6)*100))/100)),15))*10000</f>
        <v>260330.49809668801</v>
      </c>
      <c r="AF151" s="49">
        <f t="shared" ca="1" si="119"/>
        <v>260330.495087335</v>
      </c>
      <c r="AG151" s="49">
        <f t="shared" ca="1" si="119"/>
        <v>260330.48615071402</v>
      </c>
      <c r="AH151" s="49">
        <f t="shared" ca="1" si="119"/>
        <v>260330.47155836102</v>
      </c>
      <c r="AI151" s="49">
        <f t="shared" ca="1" si="119"/>
        <v>260330.451753656</v>
      </c>
      <c r="AJ151" s="49">
        <f t="shared" ca="1" si="119"/>
        <v>260330.42733835601</v>
      </c>
      <c r="AK151" s="49">
        <f t="shared" ca="1" si="119"/>
        <v>260330.39905430999</v>
      </c>
      <c r="AL151" s="49">
        <f t="shared" ca="1" si="119"/>
        <v>260330.36776091301</v>
      </c>
      <c r="AM151" s="49">
        <f t="shared" ca="1" si="119"/>
        <v>260330.33440900099</v>
      </c>
      <c r="AN151" s="49">
        <f t="shared" ca="1" si="119"/>
        <v>260330.30001195401</v>
      </c>
      <c r="AO151" s="49">
        <f t="shared" ca="1" si="119"/>
        <v>260330.26561490999</v>
      </c>
      <c r="AP151" s="49">
        <f t="shared" ca="1" si="119"/>
        <v>260330.23226300499</v>
      </c>
      <c r="AQ151" s="49">
        <f t="shared" ca="1" si="119"/>
        <v>260330.20096962102</v>
      </c>
      <c r="AR151" s="49">
        <f t="shared" ca="1" si="119"/>
        <v>260330.172685589</v>
      </c>
      <c r="AS151" s="49">
        <f t="shared" ca="1" si="119"/>
        <v>260330.14827030498</v>
      </c>
      <c r="AT151" s="49">
        <f t="shared" ca="1" si="119"/>
        <v>260330.12846561501</v>
      </c>
      <c r="AU151" s="49">
        <f t="shared" ca="1" si="119"/>
        <v>260330.11387327398</v>
      </c>
      <c r="AV151" s="49">
        <f t="shared" ca="1" si="119"/>
        <v>260330.10493666001</v>
      </c>
      <c r="AW151" s="49">
        <f t="shared" ca="1" si="119"/>
        <v>260330.10192731</v>
      </c>
      <c r="AX151" s="49">
        <f t="shared" ca="1" si="119"/>
        <v>260330.10493666001</v>
      </c>
      <c r="AY151" s="49">
        <f t="shared" ca="1" si="119"/>
        <v>260330.11387327398</v>
      </c>
      <c r="AZ151" s="49">
        <f t="shared" ca="1" si="119"/>
        <v>260330.12846561501</v>
      </c>
      <c r="BA151" s="49">
        <f t="shared" ca="1" si="119"/>
        <v>260330.14827030498</v>
      </c>
      <c r="BB151" s="49">
        <f t="shared" ca="1" si="119"/>
        <v>260330.172685589</v>
      </c>
      <c r="BC151" s="49">
        <f t="shared" ca="1" si="119"/>
        <v>260330.20096962102</v>
      </c>
      <c r="BD151" s="49">
        <f t="shared" ca="1" si="119"/>
        <v>260330.23226300499</v>
      </c>
      <c r="BE151" s="49">
        <f t="shared" ca="1" si="119"/>
        <v>260330.26561490999</v>
      </c>
      <c r="BF151" s="49">
        <f t="shared" ca="1" si="119"/>
        <v>260330.30001195401</v>
      </c>
      <c r="BG151" s="49">
        <f t="shared" ca="1" si="119"/>
        <v>260330.33440900099</v>
      </c>
      <c r="BH151" s="49">
        <f t="shared" ca="1" si="119"/>
        <v>260330.36776091301</v>
      </c>
      <c r="BI151" s="49">
        <f t="shared" ca="1" si="119"/>
        <v>260330.39905430999</v>
      </c>
      <c r="BJ151" s="49">
        <f t="shared" ca="1" si="119"/>
        <v>260330.42733835601</v>
      </c>
      <c r="BK151" s="49">
        <f t="shared" ca="1" si="119"/>
        <v>260330.451753656</v>
      </c>
      <c r="BL151" s="49">
        <f t="shared" ca="1" si="119"/>
        <v>260330.47155836102</v>
      </c>
      <c r="BM151" s="49">
        <f t="shared" ca="1" si="119"/>
        <v>260330.48615071402</v>
      </c>
      <c r="BN151" s="49">
        <f t="shared" ca="1" si="119"/>
        <v>260330.495087335</v>
      </c>
    </row>
    <row r="152" spans="30:66" x14ac:dyDescent="0.25">
      <c r="AD152" s="23" t="s">
        <v>308</v>
      </c>
      <c r="AE152" s="49">
        <f t="shared" ref="AE152:BN152" ca="1" si="120">(ROUND((((((AE150-(TRUNC(AE150)))*0.6)*100)-(TRUNC(((AE150-(TRUNC(AE150)))*0.6)*100)))*0.006)+(TRUNC(AE150)+((TRUNC(((AE150-(TRUNC(AE150)))*0.6)*100))/100)),15))*10000</f>
        <v>800803.59001599997</v>
      </c>
      <c r="AF152" s="49">
        <f t="shared" ca="1" si="120"/>
        <v>800803.55193382804</v>
      </c>
      <c r="AG152" s="49">
        <f t="shared" ca="1" si="120"/>
        <v>800803.51500876597</v>
      </c>
      <c r="AH152" s="49">
        <f t="shared" ca="1" si="120"/>
        <v>800803.48036276409</v>
      </c>
      <c r="AI152" s="49">
        <f t="shared" ca="1" si="120"/>
        <v>800803.44904852391</v>
      </c>
      <c r="AJ152" s="49">
        <f t="shared" ca="1" si="120"/>
        <v>800803.42201751296</v>
      </c>
      <c r="AK152" s="49">
        <f t="shared" ca="1" si="120"/>
        <v>800803.40009105601</v>
      </c>
      <c r="AL152" s="49">
        <f t="shared" ca="1" si="120"/>
        <v>800803.38393537805</v>
      </c>
      <c r="AM152" s="49">
        <f t="shared" ca="1" si="120"/>
        <v>800803.37404135603</v>
      </c>
      <c r="AN152" s="49">
        <f t="shared" ca="1" si="120"/>
        <v>800803.37070961599</v>
      </c>
      <c r="AO152" s="49">
        <f t="shared" ca="1" si="120"/>
        <v>800803.37404139095</v>
      </c>
      <c r="AP152" s="49">
        <f t="shared" ca="1" si="120"/>
        <v>800803.38393544394</v>
      </c>
      <c r="AQ152" s="49">
        <f t="shared" ca="1" si="120"/>
        <v>800803.40009114495</v>
      </c>
      <c r="AR152" s="49">
        <f t="shared" ca="1" si="120"/>
        <v>800803.42201761401</v>
      </c>
      <c r="AS152" s="49">
        <f t="shared" ca="1" si="120"/>
        <v>800803.44904862496</v>
      </c>
      <c r="AT152" s="49">
        <f t="shared" ca="1" si="120"/>
        <v>800803.48036285199</v>
      </c>
      <c r="AU152" s="49">
        <f t="shared" ca="1" si="120"/>
        <v>800803.51500883198</v>
      </c>
      <c r="AV152" s="49">
        <f t="shared" ca="1" si="120"/>
        <v>800803.55193386297</v>
      </c>
      <c r="AW152" s="49">
        <f t="shared" ca="1" si="120"/>
        <v>800803.59001599997</v>
      </c>
      <c r="AX152" s="49">
        <f t="shared" ca="1" si="120"/>
        <v>800803.62809813709</v>
      </c>
      <c r="AY152" s="49">
        <f t="shared" ca="1" si="120"/>
        <v>800803.66502316704</v>
      </c>
      <c r="AZ152" s="49">
        <f t="shared" ca="1" si="120"/>
        <v>800803.69966914703</v>
      </c>
      <c r="BA152" s="49">
        <f t="shared" ca="1" si="120"/>
        <v>800803.73098337499</v>
      </c>
      <c r="BB152" s="49">
        <f t="shared" ca="1" si="120"/>
        <v>800803.75801438605</v>
      </c>
      <c r="BC152" s="49">
        <f t="shared" ca="1" si="120"/>
        <v>800803.77994085499</v>
      </c>
      <c r="BD152" s="49">
        <f t="shared" ca="1" si="120"/>
        <v>800803.79609655589</v>
      </c>
      <c r="BE152" s="49">
        <f t="shared" ca="1" si="120"/>
        <v>800803.80599060806</v>
      </c>
      <c r="BF152" s="49">
        <f t="shared" ca="1" si="120"/>
        <v>800803.80932238302</v>
      </c>
      <c r="BG152" s="49">
        <f t="shared" ca="1" si="120"/>
        <v>800803.80599064298</v>
      </c>
      <c r="BH152" s="49">
        <f t="shared" ca="1" si="120"/>
        <v>800803.79609662201</v>
      </c>
      <c r="BI152" s="49">
        <f t="shared" ca="1" si="120"/>
        <v>800803.779940943</v>
      </c>
      <c r="BJ152" s="49">
        <f t="shared" ca="1" si="120"/>
        <v>800803.75801448699</v>
      </c>
      <c r="BK152" s="49">
        <f t="shared" ca="1" si="120"/>
        <v>800803.73098347592</v>
      </c>
      <c r="BL152" s="49">
        <f t="shared" ca="1" si="120"/>
        <v>800803.69966923597</v>
      </c>
      <c r="BM152" s="49">
        <f t="shared" ca="1" si="120"/>
        <v>800803.66502323304</v>
      </c>
      <c r="BN152" s="49">
        <f t="shared" ca="1" si="120"/>
        <v>800803.62809817202</v>
      </c>
    </row>
    <row r="153" spans="30:66" x14ac:dyDescent="0.25">
      <c r="AD153" s="23"/>
    </row>
    <row r="154" spans="30:66" x14ac:dyDescent="0.25">
      <c r="AD154" s="25" t="s">
        <v>327</v>
      </c>
      <c r="AE154" s="47" t="s">
        <v>779</v>
      </c>
      <c r="AF154" s="47" t="s">
        <v>816</v>
      </c>
      <c r="AG154" s="47" t="s">
        <v>817</v>
      </c>
      <c r="AH154" s="47" t="s">
        <v>818</v>
      </c>
      <c r="AI154" s="47" t="s">
        <v>819</v>
      </c>
      <c r="AJ154" s="47" t="s">
        <v>820</v>
      </c>
      <c r="AK154" s="47" t="s">
        <v>821</v>
      </c>
      <c r="AL154" s="47" t="s">
        <v>822</v>
      </c>
      <c r="AM154" s="47" t="s">
        <v>823</v>
      </c>
      <c r="AN154" s="47" t="s">
        <v>824</v>
      </c>
      <c r="AO154" s="47" t="s">
        <v>825</v>
      </c>
      <c r="AP154" s="47" t="s">
        <v>826</v>
      </c>
      <c r="AQ154" s="47" t="s">
        <v>827</v>
      </c>
      <c r="AR154" s="47" t="s">
        <v>828</v>
      </c>
      <c r="AS154" s="47" t="s">
        <v>829</v>
      </c>
      <c r="AT154" s="47" t="s">
        <v>830</v>
      </c>
      <c r="AU154" s="47" t="s">
        <v>831</v>
      </c>
      <c r="AV154" s="47" t="s">
        <v>832</v>
      </c>
      <c r="AW154" s="47" t="s">
        <v>833</v>
      </c>
      <c r="AX154" s="47" t="s">
        <v>834</v>
      </c>
      <c r="AY154" s="47" t="s">
        <v>835</v>
      </c>
      <c r="AZ154" s="47" t="s">
        <v>836</v>
      </c>
      <c r="BA154" s="47" t="s">
        <v>837</v>
      </c>
      <c r="BB154" s="47" t="s">
        <v>838</v>
      </c>
      <c r="BC154" s="47" t="s">
        <v>839</v>
      </c>
      <c r="BD154" s="47" t="s">
        <v>840</v>
      </c>
      <c r="BE154" s="47" t="s">
        <v>841</v>
      </c>
      <c r="BF154" s="47" t="s">
        <v>842</v>
      </c>
      <c r="BG154" s="47" t="s">
        <v>843</v>
      </c>
      <c r="BH154" s="47" t="s">
        <v>844</v>
      </c>
      <c r="BI154" s="47" t="s">
        <v>845</v>
      </c>
      <c r="BJ154" s="47" t="s">
        <v>846</v>
      </c>
      <c r="BK154" s="47" t="s">
        <v>847</v>
      </c>
      <c r="BL154" s="47" t="s">
        <v>848</v>
      </c>
      <c r="BM154" s="47" t="s">
        <v>849</v>
      </c>
      <c r="BN154" s="47" t="s">
        <v>850</v>
      </c>
    </row>
    <row r="155" spans="30:66" x14ac:dyDescent="0.25">
      <c r="AD155" s="23" t="s">
        <v>287</v>
      </c>
      <c r="AE155" s="48">
        <f t="shared" ref="AE155:BN155" ca="1" si="121">$O$47/2</f>
        <v>34.552</v>
      </c>
      <c r="AF155" s="48">
        <f t="shared" ca="1" si="121"/>
        <v>34.552</v>
      </c>
      <c r="AG155" s="48">
        <f t="shared" ca="1" si="121"/>
        <v>34.552</v>
      </c>
      <c r="AH155" s="48">
        <f t="shared" ca="1" si="121"/>
        <v>34.552</v>
      </c>
      <c r="AI155" s="48">
        <f t="shared" ca="1" si="121"/>
        <v>34.552</v>
      </c>
      <c r="AJ155" s="48">
        <f t="shared" ca="1" si="121"/>
        <v>34.552</v>
      </c>
      <c r="AK155" s="48">
        <f t="shared" ca="1" si="121"/>
        <v>34.552</v>
      </c>
      <c r="AL155" s="48">
        <f t="shared" ca="1" si="121"/>
        <v>34.552</v>
      </c>
      <c r="AM155" s="48">
        <f t="shared" ca="1" si="121"/>
        <v>34.552</v>
      </c>
      <c r="AN155" s="48">
        <f t="shared" ca="1" si="121"/>
        <v>34.552</v>
      </c>
      <c r="AO155" s="48">
        <f t="shared" ca="1" si="121"/>
        <v>34.552</v>
      </c>
      <c r="AP155" s="48">
        <f t="shared" ca="1" si="121"/>
        <v>34.552</v>
      </c>
      <c r="AQ155" s="48">
        <f t="shared" ca="1" si="121"/>
        <v>34.552</v>
      </c>
      <c r="AR155" s="48">
        <f t="shared" ca="1" si="121"/>
        <v>34.552</v>
      </c>
      <c r="AS155" s="48">
        <f t="shared" ca="1" si="121"/>
        <v>34.552</v>
      </c>
      <c r="AT155" s="48">
        <f t="shared" ca="1" si="121"/>
        <v>34.552</v>
      </c>
      <c r="AU155" s="48">
        <f t="shared" ca="1" si="121"/>
        <v>34.552</v>
      </c>
      <c r="AV155" s="48">
        <f t="shared" ca="1" si="121"/>
        <v>34.552</v>
      </c>
      <c r="AW155" s="48">
        <f t="shared" ca="1" si="121"/>
        <v>34.552</v>
      </c>
      <c r="AX155" s="48">
        <f t="shared" ca="1" si="121"/>
        <v>34.552</v>
      </c>
      <c r="AY155" s="48">
        <f t="shared" ca="1" si="121"/>
        <v>34.552</v>
      </c>
      <c r="AZ155" s="48">
        <f t="shared" ca="1" si="121"/>
        <v>34.552</v>
      </c>
      <c r="BA155" s="48">
        <f t="shared" ca="1" si="121"/>
        <v>34.552</v>
      </c>
      <c r="BB155" s="48">
        <f t="shared" ca="1" si="121"/>
        <v>34.552</v>
      </c>
      <c r="BC155" s="48">
        <f t="shared" ca="1" si="121"/>
        <v>34.552</v>
      </c>
      <c r="BD155" s="48">
        <f t="shared" ca="1" si="121"/>
        <v>34.552</v>
      </c>
      <c r="BE155" s="48">
        <f t="shared" ca="1" si="121"/>
        <v>34.552</v>
      </c>
      <c r="BF155" s="48">
        <f t="shared" ca="1" si="121"/>
        <v>34.552</v>
      </c>
      <c r="BG155" s="48">
        <f t="shared" ca="1" si="121"/>
        <v>34.552</v>
      </c>
      <c r="BH155" s="48">
        <f t="shared" ca="1" si="121"/>
        <v>34.552</v>
      </c>
      <c r="BI155" s="48">
        <f t="shared" ca="1" si="121"/>
        <v>34.552</v>
      </c>
      <c r="BJ155" s="48">
        <f t="shared" ca="1" si="121"/>
        <v>34.552</v>
      </c>
      <c r="BK155" s="48">
        <f t="shared" ca="1" si="121"/>
        <v>34.552</v>
      </c>
      <c r="BL155" s="48">
        <f t="shared" ca="1" si="121"/>
        <v>34.552</v>
      </c>
      <c r="BM155" s="48">
        <f t="shared" ca="1" si="121"/>
        <v>34.552</v>
      </c>
      <c r="BN155" s="48">
        <f t="shared" ca="1" si="121"/>
        <v>34.552</v>
      </c>
    </row>
    <row r="156" spans="30:66" x14ac:dyDescent="0.25">
      <c r="AD156" s="23" t="s">
        <v>284</v>
      </c>
      <c r="AE156" s="48">
        <f t="shared" ref="AE156:BN156" si="122">$D$25</f>
        <v>260330.3</v>
      </c>
      <c r="AF156" s="48">
        <f t="shared" si="122"/>
        <v>260330.3</v>
      </c>
      <c r="AG156" s="48">
        <f t="shared" si="122"/>
        <v>260330.3</v>
      </c>
      <c r="AH156" s="48">
        <f t="shared" si="122"/>
        <v>260330.3</v>
      </c>
      <c r="AI156" s="48">
        <f t="shared" si="122"/>
        <v>260330.3</v>
      </c>
      <c r="AJ156" s="48">
        <f t="shared" si="122"/>
        <v>260330.3</v>
      </c>
      <c r="AK156" s="48">
        <f t="shared" si="122"/>
        <v>260330.3</v>
      </c>
      <c r="AL156" s="48">
        <f t="shared" si="122"/>
        <v>260330.3</v>
      </c>
      <c r="AM156" s="48">
        <f t="shared" si="122"/>
        <v>260330.3</v>
      </c>
      <c r="AN156" s="48">
        <f t="shared" si="122"/>
        <v>260330.3</v>
      </c>
      <c r="AO156" s="48">
        <f t="shared" si="122"/>
        <v>260330.3</v>
      </c>
      <c r="AP156" s="48">
        <f t="shared" si="122"/>
        <v>260330.3</v>
      </c>
      <c r="AQ156" s="48">
        <f t="shared" si="122"/>
        <v>260330.3</v>
      </c>
      <c r="AR156" s="48">
        <f t="shared" si="122"/>
        <v>260330.3</v>
      </c>
      <c r="AS156" s="48">
        <f t="shared" si="122"/>
        <v>260330.3</v>
      </c>
      <c r="AT156" s="48">
        <f t="shared" si="122"/>
        <v>260330.3</v>
      </c>
      <c r="AU156" s="48">
        <f t="shared" si="122"/>
        <v>260330.3</v>
      </c>
      <c r="AV156" s="48">
        <f t="shared" si="122"/>
        <v>260330.3</v>
      </c>
      <c r="AW156" s="48">
        <f t="shared" si="122"/>
        <v>260330.3</v>
      </c>
      <c r="AX156" s="48">
        <f t="shared" si="122"/>
        <v>260330.3</v>
      </c>
      <c r="AY156" s="48">
        <f t="shared" si="122"/>
        <v>260330.3</v>
      </c>
      <c r="AZ156" s="48">
        <f t="shared" si="122"/>
        <v>260330.3</v>
      </c>
      <c r="BA156" s="48">
        <f t="shared" si="122"/>
        <v>260330.3</v>
      </c>
      <c r="BB156" s="48">
        <f t="shared" si="122"/>
        <v>260330.3</v>
      </c>
      <c r="BC156" s="48">
        <f t="shared" si="122"/>
        <v>260330.3</v>
      </c>
      <c r="BD156" s="48">
        <f t="shared" si="122"/>
        <v>260330.3</v>
      </c>
      <c r="BE156" s="48">
        <f t="shared" si="122"/>
        <v>260330.3</v>
      </c>
      <c r="BF156" s="48">
        <f t="shared" si="122"/>
        <v>260330.3</v>
      </c>
      <c r="BG156" s="48">
        <f t="shared" si="122"/>
        <v>260330.3</v>
      </c>
      <c r="BH156" s="48">
        <f t="shared" si="122"/>
        <v>260330.3</v>
      </c>
      <c r="BI156" s="48">
        <f t="shared" si="122"/>
        <v>260330.3</v>
      </c>
      <c r="BJ156" s="48">
        <f t="shared" si="122"/>
        <v>260330.3</v>
      </c>
      <c r="BK156" s="48">
        <f t="shared" si="122"/>
        <v>260330.3</v>
      </c>
      <c r="BL156" s="48">
        <f t="shared" si="122"/>
        <v>260330.3</v>
      </c>
      <c r="BM156" s="48">
        <f t="shared" si="122"/>
        <v>260330.3</v>
      </c>
      <c r="BN156" s="48">
        <f t="shared" si="122"/>
        <v>260330.3</v>
      </c>
    </row>
    <row r="157" spans="30:66" x14ac:dyDescent="0.25">
      <c r="AD157" s="23" t="s">
        <v>289</v>
      </c>
      <c r="AE157" s="48">
        <f t="shared" ref="AE157:BN157" si="123">$D$26</f>
        <v>800803.59</v>
      </c>
      <c r="AF157" s="48">
        <f t="shared" si="123"/>
        <v>800803.59</v>
      </c>
      <c r="AG157" s="48">
        <f t="shared" si="123"/>
        <v>800803.59</v>
      </c>
      <c r="AH157" s="48">
        <f t="shared" si="123"/>
        <v>800803.59</v>
      </c>
      <c r="AI157" s="48">
        <f t="shared" si="123"/>
        <v>800803.59</v>
      </c>
      <c r="AJ157" s="48">
        <f t="shared" si="123"/>
        <v>800803.59</v>
      </c>
      <c r="AK157" s="48">
        <f t="shared" si="123"/>
        <v>800803.59</v>
      </c>
      <c r="AL157" s="48">
        <f t="shared" si="123"/>
        <v>800803.59</v>
      </c>
      <c r="AM157" s="48">
        <f t="shared" si="123"/>
        <v>800803.59</v>
      </c>
      <c r="AN157" s="48">
        <f t="shared" si="123"/>
        <v>800803.59</v>
      </c>
      <c r="AO157" s="48">
        <f t="shared" si="123"/>
        <v>800803.59</v>
      </c>
      <c r="AP157" s="48">
        <f t="shared" si="123"/>
        <v>800803.59</v>
      </c>
      <c r="AQ157" s="48">
        <f t="shared" si="123"/>
        <v>800803.59</v>
      </c>
      <c r="AR157" s="48">
        <f t="shared" si="123"/>
        <v>800803.59</v>
      </c>
      <c r="AS157" s="48">
        <f t="shared" si="123"/>
        <v>800803.59</v>
      </c>
      <c r="AT157" s="48">
        <f t="shared" si="123"/>
        <v>800803.59</v>
      </c>
      <c r="AU157" s="48">
        <f t="shared" si="123"/>
        <v>800803.59</v>
      </c>
      <c r="AV157" s="48">
        <f t="shared" si="123"/>
        <v>800803.59</v>
      </c>
      <c r="AW157" s="48">
        <f t="shared" si="123"/>
        <v>800803.59</v>
      </c>
      <c r="AX157" s="48">
        <f t="shared" si="123"/>
        <v>800803.59</v>
      </c>
      <c r="AY157" s="48">
        <f t="shared" si="123"/>
        <v>800803.59</v>
      </c>
      <c r="AZ157" s="48">
        <f t="shared" si="123"/>
        <v>800803.59</v>
      </c>
      <c r="BA157" s="48">
        <f t="shared" si="123"/>
        <v>800803.59</v>
      </c>
      <c r="BB157" s="48">
        <f t="shared" si="123"/>
        <v>800803.59</v>
      </c>
      <c r="BC157" s="48">
        <f t="shared" si="123"/>
        <v>800803.59</v>
      </c>
      <c r="BD157" s="48">
        <f t="shared" si="123"/>
        <v>800803.59</v>
      </c>
      <c r="BE157" s="48">
        <f t="shared" si="123"/>
        <v>800803.59</v>
      </c>
      <c r="BF157" s="48">
        <f t="shared" si="123"/>
        <v>800803.59</v>
      </c>
      <c r="BG157" s="48">
        <f t="shared" si="123"/>
        <v>800803.59</v>
      </c>
      <c r="BH157" s="48">
        <f t="shared" si="123"/>
        <v>800803.59</v>
      </c>
      <c r="BI157" s="48">
        <f t="shared" si="123"/>
        <v>800803.59</v>
      </c>
      <c r="BJ157" s="48">
        <f t="shared" si="123"/>
        <v>800803.59</v>
      </c>
      <c r="BK157" s="48">
        <f t="shared" si="123"/>
        <v>800803.59</v>
      </c>
      <c r="BL157" s="48">
        <f t="shared" si="123"/>
        <v>800803.59</v>
      </c>
      <c r="BM157" s="48">
        <f t="shared" si="123"/>
        <v>800803.59</v>
      </c>
      <c r="BN157" s="48">
        <f t="shared" si="123"/>
        <v>800803.59</v>
      </c>
    </row>
    <row r="158" spans="30:66" x14ac:dyDescent="0.25">
      <c r="AD158" s="23" t="s">
        <v>294</v>
      </c>
      <c r="AE158" s="48">
        <v>0</v>
      </c>
      <c r="AF158" s="48">
        <f>AE158+10</f>
        <v>10</v>
      </c>
      <c r="AG158" s="48">
        <f t="shared" ref="AG158:BN158" si="124">AF158+10</f>
        <v>20</v>
      </c>
      <c r="AH158" s="48">
        <f t="shared" si="124"/>
        <v>30</v>
      </c>
      <c r="AI158" s="48">
        <f t="shared" si="124"/>
        <v>40</v>
      </c>
      <c r="AJ158" s="48">
        <f t="shared" si="124"/>
        <v>50</v>
      </c>
      <c r="AK158" s="48">
        <f t="shared" si="124"/>
        <v>60</v>
      </c>
      <c r="AL158" s="48">
        <f t="shared" si="124"/>
        <v>70</v>
      </c>
      <c r="AM158" s="48">
        <f t="shared" si="124"/>
        <v>80</v>
      </c>
      <c r="AN158" s="48">
        <f t="shared" si="124"/>
        <v>90</v>
      </c>
      <c r="AO158" s="48">
        <f t="shared" si="124"/>
        <v>100</v>
      </c>
      <c r="AP158" s="48">
        <f t="shared" si="124"/>
        <v>110</v>
      </c>
      <c r="AQ158" s="48">
        <f t="shared" si="124"/>
        <v>120</v>
      </c>
      <c r="AR158" s="48">
        <f t="shared" si="124"/>
        <v>130</v>
      </c>
      <c r="AS158" s="48">
        <f t="shared" si="124"/>
        <v>140</v>
      </c>
      <c r="AT158" s="48">
        <f t="shared" si="124"/>
        <v>150</v>
      </c>
      <c r="AU158" s="48">
        <f t="shared" si="124"/>
        <v>160</v>
      </c>
      <c r="AV158" s="48">
        <f t="shared" si="124"/>
        <v>170</v>
      </c>
      <c r="AW158" s="48">
        <f t="shared" si="124"/>
        <v>180</v>
      </c>
      <c r="AX158" s="48">
        <f t="shared" si="124"/>
        <v>190</v>
      </c>
      <c r="AY158" s="48">
        <f t="shared" si="124"/>
        <v>200</v>
      </c>
      <c r="AZ158" s="48">
        <f t="shared" si="124"/>
        <v>210</v>
      </c>
      <c r="BA158" s="48">
        <f t="shared" si="124"/>
        <v>220</v>
      </c>
      <c r="BB158" s="48">
        <f t="shared" si="124"/>
        <v>230</v>
      </c>
      <c r="BC158" s="48">
        <f t="shared" si="124"/>
        <v>240</v>
      </c>
      <c r="BD158" s="48">
        <f t="shared" si="124"/>
        <v>250</v>
      </c>
      <c r="BE158" s="48">
        <f t="shared" si="124"/>
        <v>260</v>
      </c>
      <c r="BF158" s="48">
        <f t="shared" si="124"/>
        <v>270</v>
      </c>
      <c r="BG158" s="48">
        <f t="shared" si="124"/>
        <v>280</v>
      </c>
      <c r="BH158" s="48">
        <f t="shared" si="124"/>
        <v>290</v>
      </c>
      <c r="BI158" s="48">
        <f t="shared" si="124"/>
        <v>300</v>
      </c>
      <c r="BJ158" s="48">
        <f t="shared" si="124"/>
        <v>310</v>
      </c>
      <c r="BK158" s="48">
        <f t="shared" si="124"/>
        <v>320</v>
      </c>
      <c r="BL158" s="48">
        <f t="shared" si="124"/>
        <v>330</v>
      </c>
      <c r="BM158" s="48">
        <f t="shared" si="124"/>
        <v>340</v>
      </c>
      <c r="BN158" s="48">
        <f t="shared" si="124"/>
        <v>350</v>
      </c>
    </row>
    <row r="159" spans="30:66" x14ac:dyDescent="0.25">
      <c r="AD159" s="23"/>
      <c r="AE159" s="48">
        <f t="shared" ref="AE159:BN159" ca="1" si="125">ROUND((AE155/6076.115489),15)</f>
        <v>5.686527858556E-3</v>
      </c>
      <c r="AF159" s="48">
        <f t="shared" ca="1" si="125"/>
        <v>5.686527858556E-3</v>
      </c>
      <c r="AG159" s="48">
        <f t="shared" ca="1" si="125"/>
        <v>5.686527858556E-3</v>
      </c>
      <c r="AH159" s="48">
        <f t="shared" ca="1" si="125"/>
        <v>5.686527858556E-3</v>
      </c>
      <c r="AI159" s="48">
        <f t="shared" ca="1" si="125"/>
        <v>5.686527858556E-3</v>
      </c>
      <c r="AJ159" s="48">
        <f t="shared" ca="1" si="125"/>
        <v>5.686527858556E-3</v>
      </c>
      <c r="AK159" s="48">
        <f t="shared" ca="1" si="125"/>
        <v>5.686527858556E-3</v>
      </c>
      <c r="AL159" s="48">
        <f t="shared" ca="1" si="125"/>
        <v>5.686527858556E-3</v>
      </c>
      <c r="AM159" s="48">
        <f t="shared" ca="1" si="125"/>
        <v>5.686527858556E-3</v>
      </c>
      <c r="AN159" s="48">
        <f t="shared" ca="1" si="125"/>
        <v>5.686527858556E-3</v>
      </c>
      <c r="AO159" s="48">
        <f t="shared" ca="1" si="125"/>
        <v>5.686527858556E-3</v>
      </c>
      <c r="AP159" s="48">
        <f t="shared" ca="1" si="125"/>
        <v>5.686527858556E-3</v>
      </c>
      <c r="AQ159" s="48">
        <f t="shared" ca="1" si="125"/>
        <v>5.686527858556E-3</v>
      </c>
      <c r="AR159" s="48">
        <f t="shared" ca="1" si="125"/>
        <v>5.686527858556E-3</v>
      </c>
      <c r="AS159" s="48">
        <f t="shared" ca="1" si="125"/>
        <v>5.686527858556E-3</v>
      </c>
      <c r="AT159" s="48">
        <f t="shared" ca="1" si="125"/>
        <v>5.686527858556E-3</v>
      </c>
      <c r="AU159" s="48">
        <f t="shared" ca="1" si="125"/>
        <v>5.686527858556E-3</v>
      </c>
      <c r="AV159" s="48">
        <f t="shared" ca="1" si="125"/>
        <v>5.686527858556E-3</v>
      </c>
      <c r="AW159" s="48">
        <f t="shared" ca="1" si="125"/>
        <v>5.686527858556E-3</v>
      </c>
      <c r="AX159" s="48">
        <f t="shared" ca="1" si="125"/>
        <v>5.686527858556E-3</v>
      </c>
      <c r="AY159" s="48">
        <f t="shared" ca="1" si="125"/>
        <v>5.686527858556E-3</v>
      </c>
      <c r="AZ159" s="48">
        <f t="shared" ca="1" si="125"/>
        <v>5.686527858556E-3</v>
      </c>
      <c r="BA159" s="48">
        <f t="shared" ca="1" si="125"/>
        <v>5.686527858556E-3</v>
      </c>
      <c r="BB159" s="48">
        <f t="shared" ca="1" si="125"/>
        <v>5.686527858556E-3</v>
      </c>
      <c r="BC159" s="48">
        <f t="shared" ca="1" si="125"/>
        <v>5.686527858556E-3</v>
      </c>
      <c r="BD159" s="48">
        <f t="shared" ca="1" si="125"/>
        <v>5.686527858556E-3</v>
      </c>
      <c r="BE159" s="48">
        <f t="shared" ca="1" si="125"/>
        <v>5.686527858556E-3</v>
      </c>
      <c r="BF159" s="48">
        <f t="shared" ca="1" si="125"/>
        <v>5.686527858556E-3</v>
      </c>
      <c r="BG159" s="48">
        <f t="shared" ca="1" si="125"/>
        <v>5.686527858556E-3</v>
      </c>
      <c r="BH159" s="48">
        <f t="shared" ca="1" si="125"/>
        <v>5.686527858556E-3</v>
      </c>
      <c r="BI159" s="48">
        <f t="shared" ca="1" si="125"/>
        <v>5.686527858556E-3</v>
      </c>
      <c r="BJ159" s="48">
        <f t="shared" ca="1" si="125"/>
        <v>5.686527858556E-3</v>
      </c>
      <c r="BK159" s="48">
        <f t="shared" ca="1" si="125"/>
        <v>5.686527858556E-3</v>
      </c>
      <c r="BL159" s="48">
        <f t="shared" ca="1" si="125"/>
        <v>5.686527858556E-3</v>
      </c>
      <c r="BM159" s="48">
        <f t="shared" ca="1" si="125"/>
        <v>5.686527858556E-3</v>
      </c>
      <c r="BN159" s="48">
        <f t="shared" ca="1" si="125"/>
        <v>5.686527858556E-3</v>
      </c>
    </row>
    <row r="160" spans="30:66" x14ac:dyDescent="0.25">
      <c r="AD160" s="23"/>
      <c r="AE160" s="48">
        <f>ROUND((((ROUND(((((((AE156)-((TRUNC(AE156/100))*100))/60)+(TRUNC(AE156/100))-((TRUNC(AE156/10000))*100))/60)+((TRUNC(AE156/10000))))*1000000,2))/1000000)*(PI()/180)),15)</f>
        <v>0.45480516874807703</v>
      </c>
      <c r="AF160" s="48">
        <f t="shared" ref="AF160:BN160" si="126">ROUND((((ROUND(((((((AF156)-((TRUNC(AF156/100))*100))/60)+(TRUNC(AF156/100))-((TRUNC(AF156/10000))*100))/60)+((TRUNC(AF156/10000))))*1000000,2))/1000000)*(PI()/180)),15)</f>
        <v>0.45480516874807703</v>
      </c>
      <c r="AG160" s="48">
        <f t="shared" si="126"/>
        <v>0.45480516874807703</v>
      </c>
      <c r="AH160" s="48">
        <f t="shared" si="126"/>
        <v>0.45480516874807703</v>
      </c>
      <c r="AI160" s="48">
        <f t="shared" si="126"/>
        <v>0.45480516874807703</v>
      </c>
      <c r="AJ160" s="48">
        <f t="shared" si="126"/>
        <v>0.45480516874807703</v>
      </c>
      <c r="AK160" s="48">
        <f t="shared" si="126"/>
        <v>0.45480516874807703</v>
      </c>
      <c r="AL160" s="48">
        <f t="shared" si="126"/>
        <v>0.45480516874807703</v>
      </c>
      <c r="AM160" s="48">
        <f t="shared" si="126"/>
        <v>0.45480516874807703</v>
      </c>
      <c r="AN160" s="48">
        <f t="shared" si="126"/>
        <v>0.45480516874807703</v>
      </c>
      <c r="AO160" s="48">
        <f t="shared" si="126"/>
        <v>0.45480516874807703</v>
      </c>
      <c r="AP160" s="48">
        <f t="shared" si="126"/>
        <v>0.45480516874807703</v>
      </c>
      <c r="AQ160" s="48">
        <f t="shared" si="126"/>
        <v>0.45480516874807703</v>
      </c>
      <c r="AR160" s="48">
        <f t="shared" si="126"/>
        <v>0.45480516874807703</v>
      </c>
      <c r="AS160" s="48">
        <f t="shared" si="126"/>
        <v>0.45480516874807703</v>
      </c>
      <c r="AT160" s="48">
        <f t="shared" si="126"/>
        <v>0.45480516874807703</v>
      </c>
      <c r="AU160" s="48">
        <f t="shared" si="126"/>
        <v>0.45480516874807703</v>
      </c>
      <c r="AV160" s="48">
        <f t="shared" si="126"/>
        <v>0.45480516874807703</v>
      </c>
      <c r="AW160" s="48">
        <f t="shared" si="126"/>
        <v>0.45480516874807703</v>
      </c>
      <c r="AX160" s="48">
        <f t="shared" si="126"/>
        <v>0.45480516874807703</v>
      </c>
      <c r="AY160" s="48">
        <f t="shared" si="126"/>
        <v>0.45480516874807703</v>
      </c>
      <c r="AZ160" s="48">
        <f t="shared" si="126"/>
        <v>0.45480516874807703</v>
      </c>
      <c r="BA160" s="48">
        <f t="shared" si="126"/>
        <v>0.45480516874807703</v>
      </c>
      <c r="BB160" s="48">
        <f t="shared" si="126"/>
        <v>0.45480516874807703</v>
      </c>
      <c r="BC160" s="48">
        <f t="shared" si="126"/>
        <v>0.45480516874807703</v>
      </c>
      <c r="BD160" s="48">
        <f t="shared" si="126"/>
        <v>0.45480516874807703</v>
      </c>
      <c r="BE160" s="48">
        <f t="shared" si="126"/>
        <v>0.45480516874807703</v>
      </c>
      <c r="BF160" s="48">
        <f t="shared" si="126"/>
        <v>0.45480516874807703</v>
      </c>
      <c r="BG160" s="48">
        <f t="shared" si="126"/>
        <v>0.45480516874807703</v>
      </c>
      <c r="BH160" s="48">
        <f t="shared" si="126"/>
        <v>0.45480516874807703</v>
      </c>
      <c r="BI160" s="48">
        <f t="shared" si="126"/>
        <v>0.45480516874807703</v>
      </c>
      <c r="BJ160" s="48">
        <f t="shared" si="126"/>
        <v>0.45480516874807703</v>
      </c>
      <c r="BK160" s="48">
        <f t="shared" si="126"/>
        <v>0.45480516874807703</v>
      </c>
      <c r="BL160" s="48">
        <f t="shared" si="126"/>
        <v>0.45480516874807703</v>
      </c>
      <c r="BM160" s="48">
        <f t="shared" si="126"/>
        <v>0.45480516874807703</v>
      </c>
      <c r="BN160" s="48">
        <f t="shared" si="126"/>
        <v>0.45480516874807703</v>
      </c>
    </row>
    <row r="161" spans="30:66" x14ac:dyDescent="0.25">
      <c r="AD161" s="23"/>
      <c r="AE161" s="48">
        <f>ROUND((((ROUND(((((((AE157)-((TRUNC(AE157/100))*100))/60)+(TRUNC(AE157/100))-((TRUNC(AE157/10000))*100))/60)+((TRUNC(AE157/10000))))*1000000,2))/1000000)*(PI()/180)),15)</f>
        <v>1.39860791215351</v>
      </c>
      <c r="AF161" s="48">
        <f t="shared" ref="AF161:BN161" si="127">ROUND((((ROUND(((((((AF157)-((TRUNC(AF157/100))*100))/60)+(TRUNC(AF157/100))-((TRUNC(AF157/10000))*100))/60)+((TRUNC(AF157/10000))))*1000000,2))/1000000)*(PI()/180)),15)</f>
        <v>1.39860791215351</v>
      </c>
      <c r="AG161" s="48">
        <f t="shared" si="127"/>
        <v>1.39860791215351</v>
      </c>
      <c r="AH161" s="48">
        <f t="shared" si="127"/>
        <v>1.39860791215351</v>
      </c>
      <c r="AI161" s="48">
        <f t="shared" si="127"/>
        <v>1.39860791215351</v>
      </c>
      <c r="AJ161" s="48">
        <f t="shared" si="127"/>
        <v>1.39860791215351</v>
      </c>
      <c r="AK161" s="48">
        <f t="shared" si="127"/>
        <v>1.39860791215351</v>
      </c>
      <c r="AL161" s="48">
        <f t="shared" si="127"/>
        <v>1.39860791215351</v>
      </c>
      <c r="AM161" s="48">
        <f t="shared" si="127"/>
        <v>1.39860791215351</v>
      </c>
      <c r="AN161" s="48">
        <f t="shared" si="127"/>
        <v>1.39860791215351</v>
      </c>
      <c r="AO161" s="48">
        <f t="shared" si="127"/>
        <v>1.39860791215351</v>
      </c>
      <c r="AP161" s="48">
        <f t="shared" si="127"/>
        <v>1.39860791215351</v>
      </c>
      <c r="AQ161" s="48">
        <f t="shared" si="127"/>
        <v>1.39860791215351</v>
      </c>
      <c r="AR161" s="48">
        <f t="shared" si="127"/>
        <v>1.39860791215351</v>
      </c>
      <c r="AS161" s="48">
        <f t="shared" si="127"/>
        <v>1.39860791215351</v>
      </c>
      <c r="AT161" s="48">
        <f t="shared" si="127"/>
        <v>1.39860791215351</v>
      </c>
      <c r="AU161" s="48">
        <f t="shared" si="127"/>
        <v>1.39860791215351</v>
      </c>
      <c r="AV161" s="48">
        <f t="shared" si="127"/>
        <v>1.39860791215351</v>
      </c>
      <c r="AW161" s="48">
        <f t="shared" si="127"/>
        <v>1.39860791215351</v>
      </c>
      <c r="AX161" s="48">
        <f t="shared" si="127"/>
        <v>1.39860791215351</v>
      </c>
      <c r="AY161" s="48">
        <f t="shared" si="127"/>
        <v>1.39860791215351</v>
      </c>
      <c r="AZ161" s="48">
        <f t="shared" si="127"/>
        <v>1.39860791215351</v>
      </c>
      <c r="BA161" s="48">
        <f t="shared" si="127"/>
        <v>1.39860791215351</v>
      </c>
      <c r="BB161" s="48">
        <f t="shared" si="127"/>
        <v>1.39860791215351</v>
      </c>
      <c r="BC161" s="48">
        <f t="shared" si="127"/>
        <v>1.39860791215351</v>
      </c>
      <c r="BD161" s="48">
        <f t="shared" si="127"/>
        <v>1.39860791215351</v>
      </c>
      <c r="BE161" s="48">
        <f t="shared" si="127"/>
        <v>1.39860791215351</v>
      </c>
      <c r="BF161" s="48">
        <f t="shared" si="127"/>
        <v>1.39860791215351</v>
      </c>
      <c r="BG161" s="48">
        <f t="shared" si="127"/>
        <v>1.39860791215351</v>
      </c>
      <c r="BH161" s="48">
        <f t="shared" si="127"/>
        <v>1.39860791215351</v>
      </c>
      <c r="BI161" s="48">
        <f t="shared" si="127"/>
        <v>1.39860791215351</v>
      </c>
      <c r="BJ161" s="48">
        <f t="shared" si="127"/>
        <v>1.39860791215351</v>
      </c>
      <c r="BK161" s="48">
        <f t="shared" si="127"/>
        <v>1.39860791215351</v>
      </c>
      <c r="BL161" s="48">
        <f t="shared" si="127"/>
        <v>1.39860791215351</v>
      </c>
      <c r="BM161" s="48">
        <f t="shared" si="127"/>
        <v>1.39860791215351</v>
      </c>
      <c r="BN161" s="48">
        <f t="shared" si="127"/>
        <v>1.39860791215351</v>
      </c>
    </row>
    <row r="162" spans="30:66" x14ac:dyDescent="0.25">
      <c r="AD162" s="23"/>
      <c r="AE162" s="48">
        <f>ROUND((((((AE158-(TRUNC(AE158)))*0.6)*100)-(TRUNC(((AE158-(TRUNC(AE158)))*0.6)*100)))*0.006)+(TRUNC(AE158)+((TRUNC(((AE158-(TRUNC(AE158)))*0.6)*100))/100)),15)</f>
        <v>0</v>
      </c>
      <c r="AF162" s="48">
        <f t="shared" ref="AF162:BN162" si="128">ROUND((((((AF158-(TRUNC(AF158)))*0.6)*100)-(TRUNC(((AF158-(TRUNC(AF158)))*0.6)*100)))*0.006)+(TRUNC(AF158)+((TRUNC(((AF158-(TRUNC(AF158)))*0.6)*100))/100)),15)</f>
        <v>10</v>
      </c>
      <c r="AG162" s="48">
        <f t="shared" si="128"/>
        <v>20</v>
      </c>
      <c r="AH162" s="48">
        <f t="shared" si="128"/>
        <v>30</v>
      </c>
      <c r="AI162" s="48">
        <f t="shared" si="128"/>
        <v>40</v>
      </c>
      <c r="AJ162" s="48">
        <f t="shared" si="128"/>
        <v>50</v>
      </c>
      <c r="AK162" s="48">
        <f t="shared" si="128"/>
        <v>60</v>
      </c>
      <c r="AL162" s="48">
        <f t="shared" si="128"/>
        <v>70</v>
      </c>
      <c r="AM162" s="48">
        <f t="shared" si="128"/>
        <v>80</v>
      </c>
      <c r="AN162" s="48">
        <f t="shared" si="128"/>
        <v>90</v>
      </c>
      <c r="AO162" s="48">
        <f t="shared" si="128"/>
        <v>100</v>
      </c>
      <c r="AP162" s="48">
        <f t="shared" si="128"/>
        <v>110</v>
      </c>
      <c r="AQ162" s="48">
        <f t="shared" si="128"/>
        <v>120</v>
      </c>
      <c r="AR162" s="48">
        <f t="shared" si="128"/>
        <v>130</v>
      </c>
      <c r="AS162" s="48">
        <f t="shared" si="128"/>
        <v>140</v>
      </c>
      <c r="AT162" s="48">
        <f t="shared" si="128"/>
        <v>150</v>
      </c>
      <c r="AU162" s="48">
        <f t="shared" si="128"/>
        <v>160</v>
      </c>
      <c r="AV162" s="48">
        <f t="shared" si="128"/>
        <v>170</v>
      </c>
      <c r="AW162" s="48">
        <f t="shared" si="128"/>
        <v>180</v>
      </c>
      <c r="AX162" s="48">
        <f t="shared" si="128"/>
        <v>190</v>
      </c>
      <c r="AY162" s="48">
        <f t="shared" si="128"/>
        <v>200</v>
      </c>
      <c r="AZ162" s="48">
        <f t="shared" si="128"/>
        <v>210</v>
      </c>
      <c r="BA162" s="48">
        <f t="shared" si="128"/>
        <v>220</v>
      </c>
      <c r="BB162" s="48">
        <f t="shared" si="128"/>
        <v>230</v>
      </c>
      <c r="BC162" s="48">
        <f t="shared" si="128"/>
        <v>240</v>
      </c>
      <c r="BD162" s="48">
        <f t="shared" si="128"/>
        <v>250</v>
      </c>
      <c r="BE162" s="48">
        <f t="shared" si="128"/>
        <v>260</v>
      </c>
      <c r="BF162" s="48">
        <f t="shared" si="128"/>
        <v>270</v>
      </c>
      <c r="BG162" s="48">
        <f t="shared" si="128"/>
        <v>280</v>
      </c>
      <c r="BH162" s="48">
        <f t="shared" si="128"/>
        <v>290</v>
      </c>
      <c r="BI162" s="48">
        <f t="shared" si="128"/>
        <v>300</v>
      </c>
      <c r="BJ162" s="48">
        <f t="shared" si="128"/>
        <v>310</v>
      </c>
      <c r="BK162" s="48">
        <f t="shared" si="128"/>
        <v>320</v>
      </c>
      <c r="BL162" s="48">
        <f t="shared" si="128"/>
        <v>330</v>
      </c>
      <c r="BM162" s="48">
        <f t="shared" si="128"/>
        <v>340</v>
      </c>
      <c r="BN162" s="48">
        <f t="shared" si="128"/>
        <v>350</v>
      </c>
    </row>
    <row r="163" spans="30:66" x14ac:dyDescent="0.25">
      <c r="AD163" s="23"/>
      <c r="AE163" s="48">
        <f>ROUND((AE158*(PI()/180)),15)</f>
        <v>0</v>
      </c>
      <c r="AF163" s="48">
        <f t="shared" ref="AF163:BN163" si="129">ROUND((AF158*(PI()/180)),15)</f>
        <v>0.174532925199433</v>
      </c>
      <c r="AG163" s="48">
        <f t="shared" si="129"/>
        <v>0.34906585039886601</v>
      </c>
      <c r="AH163" s="48">
        <f t="shared" si="129"/>
        <v>0.52359877559829904</v>
      </c>
      <c r="AI163" s="48">
        <f t="shared" si="129"/>
        <v>0.69813170079773201</v>
      </c>
      <c r="AJ163" s="48">
        <f t="shared" si="129"/>
        <v>0.87266462599716499</v>
      </c>
      <c r="AK163" s="48">
        <f t="shared" si="129"/>
        <v>1.0471975511966001</v>
      </c>
      <c r="AL163" s="48">
        <f t="shared" si="129"/>
        <v>1.2217304763960299</v>
      </c>
      <c r="AM163" s="48">
        <f t="shared" si="129"/>
        <v>1.39626340159546</v>
      </c>
      <c r="AN163" s="48">
        <f t="shared" si="129"/>
        <v>1.5707963267949001</v>
      </c>
      <c r="AO163" s="48">
        <f t="shared" si="129"/>
        <v>1.74532925199433</v>
      </c>
      <c r="AP163" s="48">
        <f t="shared" si="129"/>
        <v>1.9198621771937601</v>
      </c>
      <c r="AQ163" s="48">
        <f t="shared" si="129"/>
        <v>2.0943951023932001</v>
      </c>
      <c r="AR163" s="48">
        <f t="shared" si="129"/>
        <v>2.2689280275926298</v>
      </c>
      <c r="AS163" s="48">
        <f t="shared" si="129"/>
        <v>2.4434609527920599</v>
      </c>
      <c r="AT163" s="48">
        <f t="shared" si="129"/>
        <v>2.61799387799149</v>
      </c>
      <c r="AU163" s="48">
        <f t="shared" si="129"/>
        <v>2.7925268031909298</v>
      </c>
      <c r="AV163" s="48">
        <f t="shared" si="129"/>
        <v>2.9670597283903599</v>
      </c>
      <c r="AW163" s="48">
        <f t="shared" si="129"/>
        <v>3.14159265358979</v>
      </c>
      <c r="AX163" s="48">
        <f t="shared" si="129"/>
        <v>3.3161255787892299</v>
      </c>
      <c r="AY163" s="48">
        <f t="shared" si="129"/>
        <v>3.49065850398866</v>
      </c>
      <c r="AZ163" s="48">
        <f t="shared" si="129"/>
        <v>3.66519142918809</v>
      </c>
      <c r="BA163" s="48">
        <f t="shared" si="129"/>
        <v>3.8397243543875299</v>
      </c>
      <c r="BB163" s="48">
        <f t="shared" si="129"/>
        <v>4.0142572795869604</v>
      </c>
      <c r="BC163" s="48">
        <f t="shared" si="129"/>
        <v>4.1887902047863896</v>
      </c>
      <c r="BD163" s="48">
        <f t="shared" si="129"/>
        <v>4.3633231299858197</v>
      </c>
      <c r="BE163" s="48">
        <f t="shared" si="129"/>
        <v>4.5378560551852596</v>
      </c>
      <c r="BF163" s="48">
        <f t="shared" si="129"/>
        <v>4.7123889803846897</v>
      </c>
      <c r="BG163" s="48">
        <f t="shared" si="129"/>
        <v>4.8869219055841198</v>
      </c>
      <c r="BH163" s="48">
        <f t="shared" si="129"/>
        <v>5.0614548307835596</v>
      </c>
      <c r="BI163" s="48">
        <f t="shared" si="129"/>
        <v>5.2359877559829897</v>
      </c>
      <c r="BJ163" s="48">
        <f t="shared" si="129"/>
        <v>5.4105206811824198</v>
      </c>
      <c r="BK163" s="48">
        <f t="shared" si="129"/>
        <v>5.5850536063818499</v>
      </c>
      <c r="BL163" s="48">
        <f t="shared" si="129"/>
        <v>5.7595865315812897</v>
      </c>
      <c r="BM163" s="48">
        <f t="shared" si="129"/>
        <v>5.9341194567807198</v>
      </c>
      <c r="BN163" s="48">
        <f t="shared" si="129"/>
        <v>6.1086523819801499</v>
      </c>
    </row>
    <row r="164" spans="30:66" x14ac:dyDescent="0.25">
      <c r="AD164" s="23"/>
      <c r="AE164" s="48">
        <f t="shared" ref="AE164:BN164" ca="1" si="130">ROUND(((AE159*1852)/6399598.4),15)</f>
        <v>1.6456422630000001E-6</v>
      </c>
      <c r="AF164" s="48">
        <f t="shared" ca="1" si="130"/>
        <v>1.6456422630000001E-6</v>
      </c>
      <c r="AG164" s="48">
        <f t="shared" ca="1" si="130"/>
        <v>1.6456422630000001E-6</v>
      </c>
      <c r="AH164" s="48">
        <f t="shared" ca="1" si="130"/>
        <v>1.6456422630000001E-6</v>
      </c>
      <c r="AI164" s="48">
        <f t="shared" ca="1" si="130"/>
        <v>1.6456422630000001E-6</v>
      </c>
      <c r="AJ164" s="48">
        <f t="shared" ca="1" si="130"/>
        <v>1.6456422630000001E-6</v>
      </c>
      <c r="AK164" s="48">
        <f t="shared" ca="1" si="130"/>
        <v>1.6456422630000001E-6</v>
      </c>
      <c r="AL164" s="48">
        <f t="shared" ca="1" si="130"/>
        <v>1.6456422630000001E-6</v>
      </c>
      <c r="AM164" s="48">
        <f t="shared" ca="1" si="130"/>
        <v>1.6456422630000001E-6</v>
      </c>
      <c r="AN164" s="48">
        <f t="shared" ca="1" si="130"/>
        <v>1.6456422630000001E-6</v>
      </c>
      <c r="AO164" s="48">
        <f t="shared" ca="1" si="130"/>
        <v>1.6456422630000001E-6</v>
      </c>
      <c r="AP164" s="48">
        <f t="shared" ca="1" si="130"/>
        <v>1.6456422630000001E-6</v>
      </c>
      <c r="AQ164" s="48">
        <f t="shared" ca="1" si="130"/>
        <v>1.6456422630000001E-6</v>
      </c>
      <c r="AR164" s="48">
        <f t="shared" ca="1" si="130"/>
        <v>1.6456422630000001E-6</v>
      </c>
      <c r="AS164" s="48">
        <f t="shared" ca="1" si="130"/>
        <v>1.6456422630000001E-6</v>
      </c>
      <c r="AT164" s="48">
        <f t="shared" ca="1" si="130"/>
        <v>1.6456422630000001E-6</v>
      </c>
      <c r="AU164" s="48">
        <f t="shared" ca="1" si="130"/>
        <v>1.6456422630000001E-6</v>
      </c>
      <c r="AV164" s="48">
        <f t="shared" ca="1" si="130"/>
        <v>1.6456422630000001E-6</v>
      </c>
      <c r="AW164" s="48">
        <f t="shared" ca="1" si="130"/>
        <v>1.6456422630000001E-6</v>
      </c>
      <c r="AX164" s="48">
        <f t="shared" ca="1" si="130"/>
        <v>1.6456422630000001E-6</v>
      </c>
      <c r="AY164" s="48">
        <f t="shared" ca="1" si="130"/>
        <v>1.6456422630000001E-6</v>
      </c>
      <c r="AZ164" s="48">
        <f t="shared" ca="1" si="130"/>
        <v>1.6456422630000001E-6</v>
      </c>
      <c r="BA164" s="48">
        <f t="shared" ca="1" si="130"/>
        <v>1.6456422630000001E-6</v>
      </c>
      <c r="BB164" s="48">
        <f t="shared" ca="1" si="130"/>
        <v>1.6456422630000001E-6</v>
      </c>
      <c r="BC164" s="48">
        <f t="shared" ca="1" si="130"/>
        <v>1.6456422630000001E-6</v>
      </c>
      <c r="BD164" s="48">
        <f t="shared" ca="1" si="130"/>
        <v>1.6456422630000001E-6</v>
      </c>
      <c r="BE164" s="48">
        <f t="shared" ca="1" si="130"/>
        <v>1.6456422630000001E-6</v>
      </c>
      <c r="BF164" s="48">
        <f t="shared" ca="1" si="130"/>
        <v>1.6456422630000001E-6</v>
      </c>
      <c r="BG164" s="48">
        <f t="shared" ca="1" si="130"/>
        <v>1.6456422630000001E-6</v>
      </c>
      <c r="BH164" s="48">
        <f t="shared" ca="1" si="130"/>
        <v>1.6456422630000001E-6</v>
      </c>
      <c r="BI164" s="48">
        <f t="shared" ca="1" si="130"/>
        <v>1.6456422630000001E-6</v>
      </c>
      <c r="BJ164" s="48">
        <f t="shared" ca="1" si="130"/>
        <v>1.6456422630000001E-6</v>
      </c>
      <c r="BK164" s="48">
        <f t="shared" ca="1" si="130"/>
        <v>1.6456422630000001E-6</v>
      </c>
      <c r="BL164" s="48">
        <f t="shared" ca="1" si="130"/>
        <v>1.6456422630000001E-6</v>
      </c>
      <c r="BM164" s="48">
        <f t="shared" ca="1" si="130"/>
        <v>1.6456422630000001E-6</v>
      </c>
      <c r="BN164" s="48">
        <f t="shared" ca="1" si="130"/>
        <v>1.6456422630000001E-6</v>
      </c>
    </row>
    <row r="165" spans="30:66" x14ac:dyDescent="0.25">
      <c r="AE165" s="48">
        <f t="shared" ref="AE165:BN165" ca="1" si="131">ROUND(((((COS(((((AE159*1852)/6399598.4)*(COS(AE163)))/2)+AE160))*(COS(((((AE159*1852)/6399598.4)*(COS(AE163)))/2)+AE160)))/148.38)+1),15)</f>
        <v>1.0054389137486299</v>
      </c>
      <c r="AF165" s="48">
        <f t="shared" ca="1" si="131"/>
        <v>1.0054389138151201</v>
      </c>
      <c r="AG165" s="48">
        <f t="shared" ca="1" si="131"/>
        <v>1.0054389140125799</v>
      </c>
      <c r="AH165" s="48">
        <f t="shared" ca="1" si="131"/>
        <v>1.005438914335</v>
      </c>
      <c r="AI165" s="48">
        <f t="shared" ca="1" si="131"/>
        <v>1.0054389147725999</v>
      </c>
      <c r="AJ165" s="48">
        <f t="shared" ca="1" si="131"/>
        <v>1.00543891531206</v>
      </c>
      <c r="AK165" s="48">
        <f t="shared" ca="1" si="131"/>
        <v>1.0054389159370101</v>
      </c>
      <c r="AL165" s="48">
        <f t="shared" ca="1" si="131"/>
        <v>1.0054389166284501</v>
      </c>
      <c r="AM165" s="48">
        <f t="shared" ca="1" si="131"/>
        <v>1.0054389173653699</v>
      </c>
      <c r="AN165" s="48">
        <f t="shared" ca="1" si="131"/>
        <v>1.00543891812539</v>
      </c>
      <c r="AO165" s="48">
        <f t="shared" ca="1" si="131"/>
        <v>1.00543891888541</v>
      </c>
      <c r="AP165" s="48">
        <f t="shared" ca="1" si="131"/>
        <v>1.0054389196223299</v>
      </c>
      <c r="AQ165" s="48">
        <f t="shared" ca="1" si="131"/>
        <v>1.0054389203137699</v>
      </c>
      <c r="AR165" s="48">
        <f t="shared" ca="1" si="131"/>
        <v>1.00543892093871</v>
      </c>
      <c r="AS165" s="48">
        <f t="shared" ca="1" si="131"/>
        <v>1.00543892147818</v>
      </c>
      <c r="AT165" s="48">
        <f t="shared" ca="1" si="131"/>
        <v>1.00543892191577</v>
      </c>
      <c r="AU165" s="48">
        <f t="shared" ca="1" si="131"/>
        <v>1.0054389222381901</v>
      </c>
      <c r="AV165" s="48">
        <f t="shared" ca="1" si="131"/>
        <v>1.0054389224356499</v>
      </c>
      <c r="AW165" s="48">
        <f t="shared" ca="1" si="131"/>
        <v>1.0054389225021501</v>
      </c>
      <c r="AX165" s="48">
        <f t="shared" ca="1" si="131"/>
        <v>1.0054389224356499</v>
      </c>
      <c r="AY165" s="48">
        <f t="shared" ca="1" si="131"/>
        <v>1.0054389222381901</v>
      </c>
      <c r="AZ165" s="48">
        <f t="shared" ca="1" si="131"/>
        <v>1.00543892191577</v>
      </c>
      <c r="BA165" s="48">
        <f t="shared" ca="1" si="131"/>
        <v>1.00543892147818</v>
      </c>
      <c r="BB165" s="48">
        <f t="shared" ca="1" si="131"/>
        <v>1.00543892093871</v>
      </c>
      <c r="BC165" s="48">
        <f t="shared" ca="1" si="131"/>
        <v>1.0054389203137699</v>
      </c>
      <c r="BD165" s="48">
        <f t="shared" ca="1" si="131"/>
        <v>1.0054389196223299</v>
      </c>
      <c r="BE165" s="48">
        <f t="shared" ca="1" si="131"/>
        <v>1.00543891888541</v>
      </c>
      <c r="BF165" s="48">
        <f t="shared" ca="1" si="131"/>
        <v>1.00543891812539</v>
      </c>
      <c r="BG165" s="48">
        <f t="shared" ca="1" si="131"/>
        <v>1.0054389173653699</v>
      </c>
      <c r="BH165" s="48">
        <f t="shared" ca="1" si="131"/>
        <v>1.0054389166284501</v>
      </c>
      <c r="BI165" s="48">
        <f t="shared" ca="1" si="131"/>
        <v>1.0054389159370101</v>
      </c>
      <c r="BJ165" s="48">
        <f t="shared" ca="1" si="131"/>
        <v>1.00543891531206</v>
      </c>
      <c r="BK165" s="48">
        <f t="shared" ca="1" si="131"/>
        <v>1.0054389147725999</v>
      </c>
      <c r="BL165" s="48">
        <f t="shared" ca="1" si="131"/>
        <v>1.005438914335</v>
      </c>
      <c r="BM165" s="48">
        <f t="shared" ca="1" si="131"/>
        <v>1.0054389140125799</v>
      </c>
      <c r="BN165" s="48">
        <f t="shared" ca="1" si="131"/>
        <v>1.0054389138151201</v>
      </c>
    </row>
    <row r="166" spans="30:66" x14ac:dyDescent="0.25">
      <c r="AE166" s="48">
        <f t="shared" ref="AE166:BN166" ca="1" si="132">((AE165*AE165)*(AE164*AE164))*(SIN(AE163))*(COS(AE163))</f>
        <v>0</v>
      </c>
      <c r="AF166" s="48">
        <f t="shared" ca="1" si="132"/>
        <v>4.6817037975027271E-13</v>
      </c>
      <c r="AG166" s="48">
        <f t="shared" ca="1" si="132"/>
        <v>8.7987250258933472E-13</v>
      </c>
      <c r="AH166" s="48">
        <f t="shared" ca="1" si="132"/>
        <v>1.1854490166573835E-12</v>
      </c>
      <c r="AI166" s="48">
        <f t="shared" ca="1" si="132"/>
        <v>1.3480428845614912E-12</v>
      </c>
      <c r="AJ166" s="48">
        <f t="shared" ca="1" si="132"/>
        <v>1.3480428860080542E-12</v>
      </c>
      <c r="AK166" s="48">
        <f t="shared" ca="1" si="132"/>
        <v>1.1854490204350366E-12</v>
      </c>
      <c r="AL166" s="48">
        <f t="shared" ca="1" si="132"/>
        <v>8.7987250716769913E-13</v>
      </c>
      <c r="AM166" s="48">
        <f t="shared" ca="1" si="132"/>
        <v>4.681703830565431E-13</v>
      </c>
      <c r="AN166" s="48">
        <f t="shared" ca="1" si="132"/>
        <v>-9.5584803830527357E-27</v>
      </c>
      <c r="AO166" s="48">
        <f t="shared" ca="1" si="132"/>
        <v>-4.6817038447211116E-13</v>
      </c>
      <c r="AP166" s="48">
        <f t="shared" ca="1" si="132"/>
        <v>-8.7987251240765789E-13</v>
      </c>
      <c r="AQ166" s="48">
        <f t="shared" ca="1" si="132"/>
        <v>-1.1854490307557636E-12</v>
      </c>
      <c r="AR166" s="48">
        <f t="shared" ca="1" si="132"/>
        <v>-1.3480429010959241E-12</v>
      </c>
      <c r="AS166" s="48">
        <f t="shared" ca="1" si="132"/>
        <v>-1.3480429025425139E-12</v>
      </c>
      <c r="AT166" s="48">
        <f t="shared" ca="1" si="132"/>
        <v>-1.1854490345333961E-12</v>
      </c>
      <c r="AU166" s="48">
        <f t="shared" ca="1" si="132"/>
        <v>-8.7987251698600352E-13</v>
      </c>
      <c r="AV166" s="48">
        <f t="shared" ca="1" si="132"/>
        <v>-4.6817038777836287E-13</v>
      </c>
      <c r="AW166" s="48">
        <f t="shared" ca="1" si="132"/>
        <v>-8.8458166896187493E-27</v>
      </c>
      <c r="AX166" s="48">
        <f t="shared" ca="1" si="132"/>
        <v>4.6817038777837145E-13</v>
      </c>
      <c r="AY166" s="48">
        <f t="shared" ca="1" si="132"/>
        <v>8.7987251698601039E-13</v>
      </c>
      <c r="AZ166" s="48">
        <f t="shared" ca="1" si="132"/>
        <v>1.1854490345333872E-12</v>
      </c>
      <c r="BA166" s="48">
        <f t="shared" ca="1" si="132"/>
        <v>1.3480429025425157E-12</v>
      </c>
      <c r="BB166" s="48">
        <f t="shared" ca="1" si="132"/>
        <v>1.3480429010959225E-12</v>
      </c>
      <c r="BC166" s="48">
        <f t="shared" ca="1" si="132"/>
        <v>1.1854490307557594E-12</v>
      </c>
      <c r="BD166" s="48">
        <f t="shared" ca="1" si="132"/>
        <v>8.7987251240767192E-13</v>
      </c>
      <c r="BE166" s="48">
        <f t="shared" ca="1" si="132"/>
        <v>4.6817038447210318E-13</v>
      </c>
      <c r="BF166" s="48">
        <f t="shared" ca="1" si="132"/>
        <v>5.0310915906202484E-28</v>
      </c>
      <c r="BG166" s="48">
        <f t="shared" ca="1" si="132"/>
        <v>-4.6817038305652594E-13</v>
      </c>
      <c r="BH166" s="48">
        <f t="shared" ca="1" si="132"/>
        <v>-8.798725071677059E-13</v>
      </c>
      <c r="BI166" s="48">
        <f t="shared" ca="1" si="132"/>
        <v>-1.185449020435041E-12</v>
      </c>
      <c r="BJ166" s="48">
        <f t="shared" ca="1" si="132"/>
        <v>-1.3480428860080534E-12</v>
      </c>
      <c r="BK166" s="48">
        <f t="shared" ca="1" si="132"/>
        <v>-1.3480428845614934E-12</v>
      </c>
      <c r="BL166" s="48">
        <f t="shared" ca="1" si="132"/>
        <v>-1.1854490166573803E-12</v>
      </c>
      <c r="BM166" s="48">
        <f t="shared" ca="1" si="132"/>
        <v>-8.7987250258933603E-13</v>
      </c>
      <c r="BN166" s="48">
        <f t="shared" ca="1" si="132"/>
        <v>-4.681703797502819E-13</v>
      </c>
    </row>
    <row r="167" spans="30:66" x14ac:dyDescent="0.25">
      <c r="AE167" s="48">
        <f t="shared" ref="AE167:BN167" ca="1" si="133">((((AE159*1852)/6399598.4)*(COS(AE163)))/2)+AE160</f>
        <v>0.45480599156920859</v>
      </c>
      <c r="AF167" s="48">
        <f t="shared" ca="1" si="133"/>
        <v>0.45480597906870673</v>
      </c>
      <c r="AG167" s="48">
        <f t="shared" ca="1" si="133"/>
        <v>0.45480594194702256</v>
      </c>
      <c r="AH167" s="48">
        <f t="shared" ca="1" si="133"/>
        <v>0.45480588133207972</v>
      </c>
      <c r="AI167" s="48">
        <f t="shared" ca="1" si="133"/>
        <v>0.45480579906563257</v>
      </c>
      <c r="AJ167" s="48">
        <f t="shared" ca="1" si="133"/>
        <v>0.45480569764730538</v>
      </c>
      <c r="AK167" s="48">
        <f t="shared" ca="1" si="133"/>
        <v>0.45480558015864281</v>
      </c>
      <c r="AL167" s="48">
        <f t="shared" ca="1" si="133"/>
        <v>0.45480545016947838</v>
      </c>
      <c r="AM167" s="48">
        <f t="shared" ca="1" si="133"/>
        <v>0.45480531162946708</v>
      </c>
      <c r="AN167" s="48">
        <f t="shared" ca="1" si="133"/>
        <v>0.45480516874807703</v>
      </c>
      <c r="AO167" s="48">
        <f t="shared" ca="1" si="133"/>
        <v>0.45480502586668697</v>
      </c>
      <c r="AP167" s="48">
        <f t="shared" ca="1" si="133"/>
        <v>0.45480488732667568</v>
      </c>
      <c r="AQ167" s="48">
        <f t="shared" ca="1" si="133"/>
        <v>0.45480475733751125</v>
      </c>
      <c r="AR167" s="48">
        <f t="shared" ca="1" si="133"/>
        <v>0.45480463984884867</v>
      </c>
      <c r="AS167" s="48">
        <f t="shared" ca="1" si="133"/>
        <v>0.45480453843052149</v>
      </c>
      <c r="AT167" s="48">
        <f t="shared" ca="1" si="133"/>
        <v>0.45480445616407433</v>
      </c>
      <c r="AU167" s="48">
        <f t="shared" ca="1" si="133"/>
        <v>0.45480439554913149</v>
      </c>
      <c r="AV167" s="48">
        <f t="shared" ca="1" si="133"/>
        <v>0.45480435842744732</v>
      </c>
      <c r="AW167" s="48">
        <f t="shared" ca="1" si="133"/>
        <v>0.45480434592694546</v>
      </c>
      <c r="AX167" s="48">
        <f t="shared" ca="1" si="133"/>
        <v>0.45480435842744732</v>
      </c>
      <c r="AY167" s="48">
        <f t="shared" ca="1" si="133"/>
        <v>0.45480439554913149</v>
      </c>
      <c r="AZ167" s="48">
        <f t="shared" ca="1" si="133"/>
        <v>0.45480445616407433</v>
      </c>
      <c r="BA167" s="48">
        <f t="shared" ca="1" si="133"/>
        <v>0.45480453843052149</v>
      </c>
      <c r="BB167" s="48">
        <f t="shared" ca="1" si="133"/>
        <v>0.45480463984884867</v>
      </c>
      <c r="BC167" s="48">
        <f t="shared" ca="1" si="133"/>
        <v>0.45480475733751125</v>
      </c>
      <c r="BD167" s="48">
        <f t="shared" ca="1" si="133"/>
        <v>0.45480488732667568</v>
      </c>
      <c r="BE167" s="48">
        <f t="shared" ca="1" si="133"/>
        <v>0.45480502586668697</v>
      </c>
      <c r="BF167" s="48">
        <f t="shared" ca="1" si="133"/>
        <v>0.45480516874807703</v>
      </c>
      <c r="BG167" s="48">
        <f t="shared" ca="1" si="133"/>
        <v>0.45480531162946708</v>
      </c>
      <c r="BH167" s="48">
        <f t="shared" ca="1" si="133"/>
        <v>0.45480545016947838</v>
      </c>
      <c r="BI167" s="48">
        <f t="shared" ca="1" si="133"/>
        <v>0.45480558015864281</v>
      </c>
      <c r="BJ167" s="48">
        <f t="shared" ca="1" si="133"/>
        <v>0.45480569764730538</v>
      </c>
      <c r="BK167" s="48">
        <f t="shared" ca="1" si="133"/>
        <v>0.45480579906563257</v>
      </c>
      <c r="BL167" s="48">
        <f t="shared" ca="1" si="133"/>
        <v>0.45480588133207972</v>
      </c>
      <c r="BM167" s="48">
        <f t="shared" ca="1" si="133"/>
        <v>0.45480594194702256</v>
      </c>
      <c r="BN167" s="48">
        <f t="shared" ca="1" si="133"/>
        <v>0.45480597906870673</v>
      </c>
    </row>
    <row r="168" spans="30:66" x14ac:dyDescent="0.25">
      <c r="AD168" s="23"/>
      <c r="AE168" s="48">
        <f t="shared" ref="AE168:BN168" ca="1" si="134">((TAN((AE167-AE160)+AE167))*AE166)*(TAN(AE163))</f>
        <v>0</v>
      </c>
      <c r="AF168" s="48">
        <f t="shared" ca="1" si="134"/>
        <v>4.036725218358102E-14</v>
      </c>
      <c r="AG168" s="48">
        <f t="shared" ca="1" si="134"/>
        <v>1.5660009296371971E-13</v>
      </c>
      <c r="AH168" s="48">
        <f t="shared" ca="1" si="134"/>
        <v>3.3467904555226908E-13</v>
      </c>
      <c r="AI168" s="48">
        <f t="shared" ca="1" si="134"/>
        <v>5.5312504824669472E-13</v>
      </c>
      <c r="AJ168" s="48">
        <f t="shared" ca="1" si="134"/>
        <v>7.8559017404077946E-13</v>
      </c>
      <c r="AK168" s="48">
        <f t="shared" ca="1" si="134"/>
        <v>1.0040356073483298E-12</v>
      </c>
      <c r="AL168" s="48">
        <f t="shared" ca="1" si="134"/>
        <v>1.182113559566976E-12</v>
      </c>
      <c r="AM168" s="48">
        <f t="shared" ca="1" si="134"/>
        <v>1.2983452091469667E-12</v>
      </c>
      <c r="AN168" s="48">
        <f t="shared" ca="1" si="134"/>
        <v>1.3387113577006979E-12</v>
      </c>
      <c r="AO168" s="48">
        <f t="shared" ca="1" si="134"/>
        <v>1.2983433327476196E-12</v>
      </c>
      <c r="AP168" s="48">
        <f t="shared" ca="1" si="134"/>
        <v>1.1821101946415234E-12</v>
      </c>
      <c r="AQ168" s="48">
        <f t="shared" ca="1" si="134"/>
        <v>1.0040314292043809E-12</v>
      </c>
      <c r="AR168" s="48">
        <f t="shared" ca="1" si="134"/>
        <v>7.8558597134880437E-13</v>
      </c>
      <c r="AS168" s="48">
        <f t="shared" ca="1" si="134"/>
        <v>5.5312152176941173E-13</v>
      </c>
      <c r="AT168" s="48">
        <f t="shared" ca="1" si="134"/>
        <v>3.3467663329974489E-13</v>
      </c>
      <c r="AU168" s="48">
        <f t="shared" ca="1" si="134"/>
        <v>1.565988682310089E-13</v>
      </c>
      <c r="AV168" s="48">
        <f t="shared" ca="1" si="134"/>
        <v>4.036692132374569E-14</v>
      </c>
      <c r="AW168" s="48">
        <f t="shared" ca="1" si="134"/>
        <v>1.397643817743961E-41</v>
      </c>
      <c r="AX168" s="48">
        <f t="shared" ca="1" si="134"/>
        <v>4.0366921323747211E-14</v>
      </c>
      <c r="AY168" s="48">
        <f t="shared" ca="1" si="134"/>
        <v>1.5659886823101176E-13</v>
      </c>
      <c r="AZ168" s="48">
        <f t="shared" ca="1" si="134"/>
        <v>3.3467663329973737E-13</v>
      </c>
      <c r="BA168" s="48">
        <f t="shared" ca="1" si="134"/>
        <v>5.5312152176941627E-13</v>
      </c>
      <c r="BB168" s="48">
        <f t="shared" ca="1" si="134"/>
        <v>7.8558597134880941E-13</v>
      </c>
      <c r="BC168" s="48">
        <f t="shared" ca="1" si="134"/>
        <v>1.0040314292043849E-12</v>
      </c>
      <c r="BD168" s="48">
        <f t="shared" ca="1" si="134"/>
        <v>1.1821101946415175E-12</v>
      </c>
      <c r="BE168" s="48">
        <f t="shared" ca="1" si="134"/>
        <v>1.2983433327476208E-12</v>
      </c>
      <c r="BF168" s="48">
        <f t="shared" ca="1" si="134"/>
        <v>1.3387113577006979E-12</v>
      </c>
      <c r="BG168" s="48">
        <f t="shared" ca="1" si="134"/>
        <v>1.29834520914697E-12</v>
      </c>
      <c r="BH168" s="48">
        <f t="shared" ca="1" si="134"/>
        <v>1.1821135595669738E-12</v>
      </c>
      <c r="BI168" s="48">
        <f t="shared" ca="1" si="134"/>
        <v>1.0040356073483259E-12</v>
      </c>
      <c r="BJ168" s="48">
        <f t="shared" ca="1" si="134"/>
        <v>7.8559017404078168E-13</v>
      </c>
      <c r="BK168" s="48">
        <f t="shared" ca="1" si="134"/>
        <v>5.5312504824670078E-13</v>
      </c>
      <c r="BL168" s="48">
        <f t="shared" ca="1" si="134"/>
        <v>3.3467904555226641E-13</v>
      </c>
      <c r="BM168" s="48">
        <f t="shared" ca="1" si="134"/>
        <v>1.5660009296372024E-13</v>
      </c>
      <c r="BN168" s="48">
        <f t="shared" ca="1" si="134"/>
        <v>4.0367252183582648E-14</v>
      </c>
    </row>
    <row r="169" spans="30:66" x14ac:dyDescent="0.25">
      <c r="AD169" s="23"/>
      <c r="AE169" s="48">
        <f t="shared" ref="AE169:BN169" ca="1" si="135">ROUND((((((COS(AE163-(AE166/3)))*AE164)*(SQRT(AE165))*((AE165)))-(AE168/2))+AE160),15)</f>
        <v>0.45480682783433801</v>
      </c>
      <c r="AF169" s="48">
        <f t="shared" ca="1" si="135"/>
        <v>0.45480680262906997</v>
      </c>
      <c r="AG169" s="48">
        <f t="shared" ca="1" si="135"/>
        <v>0.45480672777911602</v>
      </c>
      <c r="AH169" s="48">
        <f t="shared" ca="1" si="135"/>
        <v>0.45480660555876001</v>
      </c>
      <c r="AI169" s="48">
        <f t="shared" ca="1" si="135"/>
        <v>0.45480643968161399</v>
      </c>
      <c r="AJ169" s="48">
        <f t="shared" ca="1" si="135"/>
        <v>0.45480623518777902</v>
      </c>
      <c r="AK169" s="48">
        <f t="shared" ca="1" si="135"/>
        <v>0.454805998290708</v>
      </c>
      <c r="AL169" s="48">
        <f t="shared" ca="1" si="135"/>
        <v>0.45480573618840903</v>
      </c>
      <c r="AM169" s="48">
        <f t="shared" ca="1" si="135"/>
        <v>0.454805456844735</v>
      </c>
      <c r="AN169" s="48">
        <f t="shared" ca="1" si="135"/>
        <v>0.45480516874740801</v>
      </c>
      <c r="AO169" s="48">
        <f t="shared" ca="1" si="135"/>
        <v>0.45480488065011998</v>
      </c>
      <c r="AP169" s="48">
        <f t="shared" ca="1" si="135"/>
        <v>0.45480460130655997</v>
      </c>
      <c r="AQ169" s="48">
        <f t="shared" ca="1" si="135"/>
        <v>0.45480433920443603</v>
      </c>
      <c r="AR169" s="48">
        <f t="shared" ca="1" si="135"/>
        <v>0.454804102307581</v>
      </c>
      <c r="AS169" s="48">
        <f t="shared" ca="1" si="135"/>
        <v>0.45480389781397501</v>
      </c>
      <c r="AT169" s="48">
        <f t="shared" ca="1" si="135"/>
        <v>0.45480373193704299</v>
      </c>
      <c r="AU169" s="48">
        <f t="shared" ca="1" si="135"/>
        <v>0.45480360971686201</v>
      </c>
      <c r="AV169" s="48">
        <f t="shared" ca="1" si="135"/>
        <v>0.45480353486702302</v>
      </c>
      <c r="AW169" s="48">
        <f t="shared" ca="1" si="135"/>
        <v>0.454803509661794</v>
      </c>
      <c r="AX169" s="48">
        <f t="shared" ca="1" si="135"/>
        <v>0.45480353486702302</v>
      </c>
      <c r="AY169" s="48">
        <f t="shared" ca="1" si="135"/>
        <v>0.45480360971686201</v>
      </c>
      <c r="AZ169" s="48">
        <f t="shared" ca="1" si="135"/>
        <v>0.45480373193704299</v>
      </c>
      <c r="BA169" s="48">
        <f t="shared" ca="1" si="135"/>
        <v>0.45480389781397501</v>
      </c>
      <c r="BB169" s="48">
        <f t="shared" ca="1" si="135"/>
        <v>0.454804102307581</v>
      </c>
      <c r="BC169" s="48">
        <f t="shared" ca="1" si="135"/>
        <v>0.45480433920443603</v>
      </c>
      <c r="BD169" s="48">
        <f t="shared" ca="1" si="135"/>
        <v>0.45480460130655997</v>
      </c>
      <c r="BE169" s="48">
        <f t="shared" ca="1" si="135"/>
        <v>0.45480488065011998</v>
      </c>
      <c r="BF169" s="48">
        <f t="shared" ca="1" si="135"/>
        <v>0.45480516874740801</v>
      </c>
      <c r="BG169" s="48">
        <f t="shared" ca="1" si="135"/>
        <v>0.454805456844735</v>
      </c>
      <c r="BH169" s="48">
        <f t="shared" ca="1" si="135"/>
        <v>0.45480573618840903</v>
      </c>
      <c r="BI169" s="48">
        <f t="shared" ca="1" si="135"/>
        <v>0.454805998290708</v>
      </c>
      <c r="BJ169" s="48">
        <f t="shared" ca="1" si="135"/>
        <v>0.45480623518777902</v>
      </c>
      <c r="BK169" s="48">
        <f t="shared" ca="1" si="135"/>
        <v>0.45480643968161399</v>
      </c>
      <c r="BL169" s="48">
        <f t="shared" ca="1" si="135"/>
        <v>0.45480660555876001</v>
      </c>
      <c r="BM169" s="48">
        <f t="shared" ca="1" si="135"/>
        <v>0.45480672777911602</v>
      </c>
      <c r="BN169" s="48">
        <f t="shared" ca="1" si="135"/>
        <v>0.45480680262906997</v>
      </c>
    </row>
    <row r="170" spans="30:66" x14ac:dyDescent="0.25">
      <c r="AD170" s="23"/>
      <c r="AE170" s="48">
        <f t="shared" ref="AE170:BN170" ca="1" si="136">ROUND(((AE161-((((SQRT((((COS(AE169))*(COS(AE169)))/148.38)+1))*AE164)*(SIN(AE163-(AE166/6))))/(COS((AE168/6)+AE169))))),15)</f>
        <v>1.39860791215351</v>
      </c>
      <c r="AF170" s="48">
        <f t="shared" ca="1" si="136"/>
        <v>1.3986075931908</v>
      </c>
      <c r="AG170" s="48">
        <f t="shared" ca="1" si="136"/>
        <v>1.39860728391964</v>
      </c>
      <c r="AH170" s="48">
        <f t="shared" ca="1" si="136"/>
        <v>1.39860699373709</v>
      </c>
      <c r="AI170" s="48">
        <f t="shared" ca="1" si="136"/>
        <v>1.39860673146021</v>
      </c>
      <c r="AJ170" s="48">
        <f t="shared" ca="1" si="136"/>
        <v>1.39860650505817</v>
      </c>
      <c r="AK170" s="48">
        <f t="shared" ca="1" si="136"/>
        <v>1.3986063214100699</v>
      </c>
      <c r="AL170" s="48">
        <f t="shared" ca="1" si="136"/>
        <v>1.39860618609597</v>
      </c>
      <c r="AM170" s="48">
        <f t="shared" ca="1" si="136"/>
        <v>1.3986061032272901</v>
      </c>
      <c r="AN170" s="48">
        <f t="shared" ca="1" si="136"/>
        <v>1.39860607532194</v>
      </c>
      <c r="AO170" s="48">
        <f t="shared" ca="1" si="136"/>
        <v>1.3986061032278001</v>
      </c>
      <c r="AP170" s="48">
        <f t="shared" ca="1" si="136"/>
        <v>1.3986061860969199</v>
      </c>
      <c r="AQ170" s="48">
        <f t="shared" ca="1" si="136"/>
        <v>1.39860632141135</v>
      </c>
      <c r="AR170" s="48">
        <f t="shared" ca="1" si="136"/>
        <v>1.3986065050596299</v>
      </c>
      <c r="AS170" s="48">
        <f t="shared" ca="1" si="136"/>
        <v>1.3986067314616699</v>
      </c>
      <c r="AT170" s="48">
        <f t="shared" ca="1" si="136"/>
        <v>1.3986069937383701</v>
      </c>
      <c r="AU170" s="48">
        <f t="shared" ca="1" si="136"/>
        <v>1.3986072839205901</v>
      </c>
      <c r="AV170" s="48">
        <f t="shared" ca="1" si="136"/>
        <v>1.39860759319131</v>
      </c>
      <c r="AW170" s="48">
        <f t="shared" ca="1" si="136"/>
        <v>1.39860791215351</v>
      </c>
      <c r="AX170" s="48">
        <f t="shared" ca="1" si="136"/>
        <v>1.39860823111571</v>
      </c>
      <c r="AY170" s="48">
        <f t="shared" ca="1" si="136"/>
        <v>1.3986085403864299</v>
      </c>
      <c r="AZ170" s="48">
        <f t="shared" ca="1" si="136"/>
        <v>1.3986088305686499</v>
      </c>
      <c r="BA170" s="48">
        <f t="shared" ca="1" si="136"/>
        <v>1.3986090928453501</v>
      </c>
      <c r="BB170" s="48">
        <f t="shared" ca="1" si="136"/>
        <v>1.3986093192473901</v>
      </c>
      <c r="BC170" s="48">
        <f t="shared" ca="1" si="136"/>
        <v>1.39860950289567</v>
      </c>
      <c r="BD170" s="48">
        <f t="shared" ca="1" si="136"/>
        <v>1.3986096382101001</v>
      </c>
      <c r="BE170" s="48">
        <f t="shared" ca="1" si="136"/>
        <v>1.3986097210792201</v>
      </c>
      <c r="BF170" s="48">
        <f t="shared" ca="1" si="136"/>
        <v>1.3986097489850799</v>
      </c>
      <c r="BG170" s="48">
        <f t="shared" ca="1" si="136"/>
        <v>1.3986097210797299</v>
      </c>
      <c r="BH170" s="48">
        <f t="shared" ca="1" si="136"/>
        <v>1.39860963821105</v>
      </c>
      <c r="BI170" s="48">
        <f t="shared" ca="1" si="136"/>
        <v>1.3986095028969501</v>
      </c>
      <c r="BJ170" s="48">
        <f t="shared" ca="1" si="136"/>
        <v>1.39860931924885</v>
      </c>
      <c r="BK170" s="48">
        <f t="shared" ca="1" si="136"/>
        <v>1.39860909284681</v>
      </c>
      <c r="BL170" s="48">
        <f t="shared" ca="1" si="136"/>
        <v>1.39860883056993</v>
      </c>
      <c r="BM170" s="48">
        <f t="shared" ca="1" si="136"/>
        <v>1.39860854038738</v>
      </c>
      <c r="BN170" s="48">
        <f t="shared" ca="1" si="136"/>
        <v>1.39860823111622</v>
      </c>
    </row>
    <row r="171" spans="30:66" x14ac:dyDescent="0.25">
      <c r="AD171" s="23"/>
      <c r="AE171" s="48">
        <f t="shared" ref="AE171:BN171" ca="1" si="137">ROUND((((((((((SQRT((((COS(AE169))*(COS(AE169)))/148.38)+1))*AE164)*(SIN(AE163-(AE166/6))))/(COS((AE168/6)+AE168)))*(SIN((AE168/3)+AE168)))-(AE166/2))-PI())+AE163)+(PI()+PI())),15)</f>
        <v>3.14159265358979</v>
      </c>
      <c r="AF171" s="48">
        <f t="shared" ca="1" si="137"/>
        <v>3.3161255787889901</v>
      </c>
      <c r="AG171" s="48">
        <f t="shared" ca="1" si="137"/>
        <v>3.4906585039882199</v>
      </c>
      <c r="AH171" s="48">
        <f t="shared" ca="1" si="137"/>
        <v>3.6651914291874998</v>
      </c>
      <c r="AI171" s="48">
        <f t="shared" ca="1" si="137"/>
        <v>3.83972435438685</v>
      </c>
      <c r="AJ171" s="48">
        <f t="shared" ca="1" si="137"/>
        <v>4.0142572795862801</v>
      </c>
      <c r="AK171" s="48">
        <f t="shared" ca="1" si="137"/>
        <v>4.1887902047857999</v>
      </c>
      <c r="AL171" s="48">
        <f t="shared" ca="1" si="137"/>
        <v>4.3633231299853801</v>
      </c>
      <c r="AM171" s="48">
        <f t="shared" ca="1" si="137"/>
        <v>4.5378560551850198</v>
      </c>
      <c r="AN171" s="48">
        <f t="shared" ca="1" si="137"/>
        <v>4.7123889803846897</v>
      </c>
      <c r="AO171" s="48">
        <f t="shared" ca="1" si="137"/>
        <v>4.8869219055843596</v>
      </c>
      <c r="AP171" s="48">
        <f t="shared" ca="1" si="137"/>
        <v>5.0614548307839904</v>
      </c>
      <c r="AQ171" s="48">
        <f t="shared" ca="1" si="137"/>
        <v>5.2359877559835901</v>
      </c>
      <c r="AR171" s="48">
        <f t="shared" ca="1" si="137"/>
        <v>5.4105206811831001</v>
      </c>
      <c r="AS171" s="48">
        <f t="shared" ca="1" si="137"/>
        <v>5.5850536063825302</v>
      </c>
      <c r="AT171" s="48">
        <f t="shared" ca="1" si="137"/>
        <v>5.7595865315818804</v>
      </c>
      <c r="AU171" s="48">
        <f t="shared" ca="1" si="137"/>
        <v>5.9341194567811604</v>
      </c>
      <c r="AV171" s="48">
        <f t="shared" ca="1" si="137"/>
        <v>6.1086523819803897</v>
      </c>
      <c r="AW171" s="48">
        <f t="shared" ca="1" si="137"/>
        <v>6.28318530717958</v>
      </c>
      <c r="AX171" s="48">
        <f t="shared" ca="1" si="137"/>
        <v>6.4577182323787898</v>
      </c>
      <c r="AY171" s="48">
        <f t="shared" ca="1" si="137"/>
        <v>6.6322511575780103</v>
      </c>
      <c r="AZ171" s="48">
        <f t="shared" ca="1" si="137"/>
        <v>6.8067840827772903</v>
      </c>
      <c r="BA171" s="48">
        <f t="shared" ca="1" si="137"/>
        <v>6.9813170079766502</v>
      </c>
      <c r="BB171" s="48">
        <f t="shared" ca="1" si="137"/>
        <v>7.1558499331760803</v>
      </c>
      <c r="BC171" s="48">
        <f t="shared" ca="1" si="137"/>
        <v>7.3303828583755903</v>
      </c>
      <c r="BD171" s="48">
        <f t="shared" ca="1" si="137"/>
        <v>7.5049157835751696</v>
      </c>
      <c r="BE171" s="48">
        <f t="shared" ca="1" si="137"/>
        <v>7.67944870877482</v>
      </c>
      <c r="BF171" s="48">
        <f t="shared" ca="1" si="137"/>
        <v>7.8539816339744801</v>
      </c>
      <c r="BG171" s="48">
        <f t="shared" ca="1" si="137"/>
        <v>8.02851455917415</v>
      </c>
      <c r="BH171" s="48">
        <f t="shared" ca="1" si="137"/>
        <v>8.2030474843737906</v>
      </c>
      <c r="BI171" s="48">
        <f t="shared" ca="1" si="137"/>
        <v>8.3775804095733797</v>
      </c>
      <c r="BJ171" s="48">
        <f t="shared" ca="1" si="137"/>
        <v>8.5521133347728906</v>
      </c>
      <c r="BK171" s="48">
        <f t="shared" ca="1" si="137"/>
        <v>8.7266462599723198</v>
      </c>
      <c r="BL171" s="48">
        <f t="shared" ca="1" si="137"/>
        <v>8.9011791851716797</v>
      </c>
      <c r="BM171" s="48">
        <f t="shared" ca="1" si="137"/>
        <v>9.0757121103709508</v>
      </c>
      <c r="BN171" s="48">
        <f t="shared" ca="1" si="137"/>
        <v>9.2502450355701793</v>
      </c>
    </row>
    <row r="172" spans="30:66" x14ac:dyDescent="0.25">
      <c r="AD172" s="23" t="s">
        <v>304</v>
      </c>
      <c r="AE172" s="48">
        <f t="shared" ref="AE172:AT173" ca="1" si="138">(AE169*(180/PI()))</f>
        <v>26.058511728640624</v>
      </c>
      <c r="AF172" s="48">
        <f t="shared" ca="1" si="138"/>
        <v>26.058510284485141</v>
      </c>
      <c r="AG172" s="48">
        <f t="shared" ca="1" si="138"/>
        <v>26.058505995898685</v>
      </c>
      <c r="AH172" s="48">
        <f t="shared" ca="1" si="138"/>
        <v>26.058498993188113</v>
      </c>
      <c r="AI172" s="48">
        <f t="shared" ca="1" si="138"/>
        <v>26.05848948912773</v>
      </c>
      <c r="AJ172" s="48">
        <f t="shared" ca="1" si="138"/>
        <v>26.058477772494051</v>
      </c>
      <c r="AK172" s="48">
        <f t="shared" ca="1" si="138"/>
        <v>26.058464199291702</v>
      </c>
      <c r="AL172" s="48">
        <f t="shared" ca="1" si="138"/>
        <v>26.058449181936169</v>
      </c>
      <c r="AM172" s="48">
        <f t="shared" ca="1" si="138"/>
        <v>26.058433176722613</v>
      </c>
      <c r="AN172" s="48">
        <f t="shared" ca="1" si="138"/>
        <v>26.058416669961687</v>
      </c>
      <c r="AO172" s="48">
        <f t="shared" ca="1" si="138"/>
        <v>26.058400163202997</v>
      </c>
      <c r="AP172" s="48">
        <f t="shared" ca="1" si="138"/>
        <v>26.058384157995974</v>
      </c>
      <c r="AQ172" s="48">
        <f t="shared" ca="1" si="138"/>
        <v>26.05836914065047</v>
      </c>
      <c r="AR172" s="48">
        <f t="shared" ca="1" si="138"/>
        <v>26.058355567460495</v>
      </c>
      <c r="AS172" s="48">
        <f t="shared" ca="1" si="138"/>
        <v>26.058343850839936</v>
      </c>
      <c r="AT172" s="48">
        <f t="shared" ca="1" si="138"/>
        <v>26.058334346791813</v>
      </c>
      <c r="AU172" s="48">
        <f t="shared" ref="AF172:BN173" ca="1" si="139">(AU169*(180/PI()))</f>
        <v>26.058327344091271</v>
      </c>
      <c r="AV172" s="48">
        <f t="shared" ca="1" si="139"/>
        <v>26.058323055511398</v>
      </c>
      <c r="AW172" s="48">
        <f t="shared" ca="1" si="139"/>
        <v>26.058321611358156</v>
      </c>
      <c r="AX172" s="48">
        <f t="shared" ca="1" si="139"/>
        <v>26.058323055511398</v>
      </c>
      <c r="AY172" s="48">
        <f t="shared" ca="1" si="139"/>
        <v>26.058327344091271</v>
      </c>
      <c r="AZ172" s="48">
        <f t="shared" ca="1" si="139"/>
        <v>26.058334346791813</v>
      </c>
      <c r="BA172" s="48">
        <f t="shared" ca="1" si="139"/>
        <v>26.058343850839936</v>
      </c>
      <c r="BB172" s="48">
        <f t="shared" ca="1" si="139"/>
        <v>26.058355567460495</v>
      </c>
      <c r="BC172" s="48">
        <f t="shared" ca="1" si="139"/>
        <v>26.05836914065047</v>
      </c>
      <c r="BD172" s="48">
        <f t="shared" ca="1" si="139"/>
        <v>26.058384157995974</v>
      </c>
      <c r="BE172" s="48">
        <f t="shared" ca="1" si="139"/>
        <v>26.058400163202997</v>
      </c>
      <c r="BF172" s="48">
        <f t="shared" ca="1" si="139"/>
        <v>26.058416669961687</v>
      </c>
      <c r="BG172" s="48">
        <f t="shared" ca="1" si="139"/>
        <v>26.058433176722613</v>
      </c>
      <c r="BH172" s="48">
        <f t="shared" ca="1" si="139"/>
        <v>26.058449181936169</v>
      </c>
      <c r="BI172" s="48">
        <f t="shared" ca="1" si="139"/>
        <v>26.058464199291702</v>
      </c>
      <c r="BJ172" s="48">
        <f t="shared" ca="1" si="139"/>
        <v>26.058477772494051</v>
      </c>
      <c r="BK172" s="48">
        <f t="shared" ca="1" si="139"/>
        <v>26.05848948912773</v>
      </c>
      <c r="BL172" s="48">
        <f t="shared" ca="1" si="139"/>
        <v>26.058498993188113</v>
      </c>
      <c r="BM172" s="48">
        <f t="shared" ca="1" si="139"/>
        <v>26.058505995898685</v>
      </c>
      <c r="BN172" s="48">
        <f t="shared" ca="1" si="139"/>
        <v>26.058510284485141</v>
      </c>
    </row>
    <row r="173" spans="30:66" x14ac:dyDescent="0.25">
      <c r="AD173" s="23" t="s">
        <v>306</v>
      </c>
      <c r="AE173" s="48">
        <f t="shared" ca="1" si="138"/>
        <v>80.134330559999924</v>
      </c>
      <c r="AF173" s="48">
        <f t="shared" ca="1" si="139"/>
        <v>80.134312284782808</v>
      </c>
      <c r="AG173" s="48">
        <f t="shared" ca="1" si="139"/>
        <v>80.13429456485062</v>
      </c>
      <c r="AH173" s="48">
        <f t="shared" ca="1" si="139"/>
        <v>80.134277938615213</v>
      </c>
      <c r="AI173" s="48">
        <f t="shared" ca="1" si="139"/>
        <v>80.134262911256926</v>
      </c>
      <c r="AJ173" s="48">
        <f t="shared" ca="1" si="139"/>
        <v>80.134249939375565</v>
      </c>
      <c r="AK173" s="48">
        <f t="shared" ca="1" si="139"/>
        <v>80.134239417114514</v>
      </c>
      <c r="AL173" s="48">
        <f t="shared" ca="1" si="139"/>
        <v>80.134231664187681</v>
      </c>
      <c r="AM173" s="48">
        <f t="shared" ca="1" si="139"/>
        <v>80.134226916162064</v>
      </c>
      <c r="AN173" s="48">
        <f t="shared" ca="1" si="139"/>
        <v>80.13422531730329</v>
      </c>
      <c r="AO173" s="48">
        <f t="shared" ca="1" si="139"/>
        <v>80.134226916191295</v>
      </c>
      <c r="AP173" s="48">
        <f t="shared" ca="1" si="139"/>
        <v>80.134231664242108</v>
      </c>
      <c r="AQ173" s="48">
        <f t="shared" ca="1" si="139"/>
        <v>80.134239417187857</v>
      </c>
      <c r="AR173" s="48">
        <f t="shared" ca="1" si="139"/>
        <v>80.13424993945921</v>
      </c>
      <c r="AS173" s="48">
        <f t="shared" ca="1" si="139"/>
        <v>80.134262911340571</v>
      </c>
      <c r="AT173" s="48">
        <f t="shared" ca="1" si="139"/>
        <v>80.134277938688555</v>
      </c>
      <c r="AU173" s="48">
        <f t="shared" ca="1" si="139"/>
        <v>80.134294564905062</v>
      </c>
      <c r="AV173" s="48">
        <f t="shared" ca="1" si="139"/>
        <v>80.13431228481204</v>
      </c>
      <c r="AW173" s="48">
        <f t="shared" ca="1" si="139"/>
        <v>80.134330559999924</v>
      </c>
      <c r="AX173" s="48">
        <f t="shared" ca="1" si="139"/>
        <v>80.134348835187808</v>
      </c>
      <c r="AY173" s="48">
        <f t="shared" ca="1" si="139"/>
        <v>80.134366555094786</v>
      </c>
      <c r="AZ173" s="48">
        <f t="shared" ca="1" si="139"/>
        <v>80.134383181311279</v>
      </c>
      <c r="BA173" s="48">
        <f t="shared" ca="1" si="139"/>
        <v>80.134398208659263</v>
      </c>
      <c r="BB173" s="48">
        <f t="shared" ca="1" si="139"/>
        <v>80.134411180540624</v>
      </c>
      <c r="BC173" s="48">
        <f t="shared" ca="1" si="139"/>
        <v>80.134421702811977</v>
      </c>
      <c r="BD173" s="48">
        <f t="shared" ca="1" si="139"/>
        <v>80.134429455757726</v>
      </c>
      <c r="BE173" s="48">
        <f t="shared" ca="1" si="139"/>
        <v>80.134434203808567</v>
      </c>
      <c r="BF173" s="48">
        <f t="shared" ca="1" si="139"/>
        <v>80.134435802696558</v>
      </c>
      <c r="BG173" s="48">
        <f t="shared" ca="1" si="139"/>
        <v>80.13443420383777</v>
      </c>
      <c r="BH173" s="48">
        <f t="shared" ca="1" si="139"/>
        <v>80.134429455812153</v>
      </c>
      <c r="BI173" s="48">
        <f t="shared" ca="1" si="139"/>
        <v>80.134421702885319</v>
      </c>
      <c r="BJ173" s="48">
        <f t="shared" ca="1" si="139"/>
        <v>80.134411180624269</v>
      </c>
      <c r="BK173" s="48">
        <f t="shared" ca="1" si="139"/>
        <v>80.134398208742908</v>
      </c>
      <c r="BL173" s="48">
        <f t="shared" ca="1" si="139"/>
        <v>80.134383181384621</v>
      </c>
      <c r="BM173" s="48">
        <f t="shared" ca="1" si="139"/>
        <v>80.134366555149214</v>
      </c>
      <c r="BN173" s="48">
        <f t="shared" ca="1" si="139"/>
        <v>80.134348835217025</v>
      </c>
    </row>
    <row r="174" spans="30:66" x14ac:dyDescent="0.25">
      <c r="AD174" s="23" t="s">
        <v>307</v>
      </c>
      <c r="AE174" s="49">
        <f t="shared" ref="AE174:AT175" ca="1" si="140">(ROUND((((((AE172-(TRUNC(AE172)))*0.6)*100)-(TRUNC(((AE172-(TRUNC(AE172)))*0.6)*100)))*0.006)+(TRUNC(AE172)+((TRUNC(((AE172-(TRUNC(AE172)))*0.6)*100))/100)),15))*10000</f>
        <v>260330.642223106</v>
      </c>
      <c r="AF174" s="49">
        <f t="shared" ca="1" si="140"/>
        <v>260330.637024147</v>
      </c>
      <c r="AG174" s="49">
        <f t="shared" ca="1" si="140"/>
        <v>260330.621585235</v>
      </c>
      <c r="AH174" s="49">
        <f t="shared" ca="1" si="140"/>
        <v>260330.59637547701</v>
      </c>
      <c r="AI174" s="49">
        <f t="shared" ca="1" si="140"/>
        <v>260330.56216085999</v>
      </c>
      <c r="AJ174" s="49">
        <f t="shared" ca="1" si="140"/>
        <v>260330.51998097901</v>
      </c>
      <c r="AK174" s="49">
        <f t="shared" ca="1" si="140"/>
        <v>260330.47111744998</v>
      </c>
      <c r="AL174" s="49">
        <f t="shared" ca="1" si="140"/>
        <v>260330.41705496999</v>
      </c>
      <c r="AM174" s="49">
        <f t="shared" ca="1" si="140"/>
        <v>260330.35943620099</v>
      </c>
      <c r="AN174" s="49">
        <f t="shared" ca="1" si="140"/>
        <v>260330.30001186201</v>
      </c>
      <c r="AO174" s="49">
        <f t="shared" ca="1" si="140"/>
        <v>260330.24058753101</v>
      </c>
      <c r="AP174" s="49">
        <f t="shared" ca="1" si="140"/>
        <v>260330.18296878599</v>
      </c>
      <c r="AQ174" s="49">
        <f t="shared" ca="1" si="140"/>
        <v>260330.128906342</v>
      </c>
      <c r="AR174" s="49">
        <f t="shared" ca="1" si="140"/>
        <v>260330.080042858</v>
      </c>
      <c r="AS174" s="49">
        <f t="shared" ca="1" si="140"/>
        <v>260330.03786302402</v>
      </c>
      <c r="AT174" s="49">
        <f t="shared" ca="1" si="140"/>
        <v>260330.00364845101</v>
      </c>
      <c r="AU174" s="49">
        <f t="shared" ref="AF174:BN175" ca="1" si="141">(ROUND((((((AU172-(TRUNC(AU172)))*0.6)*100)-(TRUNC(((AU172-(TRUNC(AU172)))*0.6)*100)))*0.006)+(TRUNC(AU172)+((TRUNC(((AU172-(TRUNC(AU172)))*0.6)*100))/100)),15))*10000</f>
        <v>260329.97843872898</v>
      </c>
      <c r="AV174" s="49">
        <f t="shared" ca="1" si="141"/>
        <v>260329.96299984099</v>
      </c>
      <c r="AW174" s="49">
        <f t="shared" ca="1" si="141"/>
        <v>260329.95780088901</v>
      </c>
      <c r="AX174" s="49">
        <f t="shared" ca="1" si="141"/>
        <v>260329.96299984099</v>
      </c>
      <c r="AY174" s="49">
        <f t="shared" ca="1" si="141"/>
        <v>260329.97843872898</v>
      </c>
      <c r="AZ174" s="49">
        <f t="shared" ca="1" si="141"/>
        <v>260330.00364845101</v>
      </c>
      <c r="BA174" s="49">
        <f t="shared" ca="1" si="141"/>
        <v>260330.03786302402</v>
      </c>
      <c r="BB174" s="49">
        <f t="shared" ca="1" si="141"/>
        <v>260330.080042858</v>
      </c>
      <c r="BC174" s="49">
        <f t="shared" ca="1" si="141"/>
        <v>260330.128906342</v>
      </c>
      <c r="BD174" s="49">
        <f t="shared" ca="1" si="141"/>
        <v>260330.18296878599</v>
      </c>
      <c r="BE174" s="49">
        <f t="shared" ca="1" si="141"/>
        <v>260330.24058753101</v>
      </c>
      <c r="BF174" s="49">
        <f t="shared" ca="1" si="141"/>
        <v>260330.30001186201</v>
      </c>
      <c r="BG174" s="49">
        <f t="shared" ca="1" si="141"/>
        <v>260330.35943620099</v>
      </c>
      <c r="BH174" s="49">
        <f t="shared" ca="1" si="141"/>
        <v>260330.41705496999</v>
      </c>
      <c r="BI174" s="49">
        <f t="shared" ca="1" si="141"/>
        <v>260330.47111744998</v>
      </c>
      <c r="BJ174" s="49">
        <f t="shared" ca="1" si="141"/>
        <v>260330.51998097901</v>
      </c>
      <c r="BK174" s="49">
        <f t="shared" ca="1" si="141"/>
        <v>260330.56216085999</v>
      </c>
      <c r="BL174" s="49">
        <f t="shared" ca="1" si="141"/>
        <v>260330.59637547701</v>
      </c>
      <c r="BM174" s="49">
        <f t="shared" ca="1" si="141"/>
        <v>260330.621585235</v>
      </c>
      <c r="BN174" s="49">
        <f t="shared" ca="1" si="141"/>
        <v>260330.637024147</v>
      </c>
    </row>
    <row r="175" spans="30:66" x14ac:dyDescent="0.25">
      <c r="AD175" s="23" t="s">
        <v>308</v>
      </c>
      <c r="AE175" s="49">
        <f t="shared" ca="1" si="140"/>
        <v>800803.59001599997</v>
      </c>
      <c r="AF175" s="49">
        <f t="shared" ca="1" si="141"/>
        <v>800803.52422521799</v>
      </c>
      <c r="AG175" s="49">
        <f t="shared" ca="1" si="141"/>
        <v>800803.46043346194</v>
      </c>
      <c r="AH175" s="49">
        <f t="shared" ca="1" si="141"/>
        <v>800803.40057901491</v>
      </c>
      <c r="AI175" s="49">
        <f t="shared" ca="1" si="141"/>
        <v>800803.34648052498</v>
      </c>
      <c r="AJ175" s="49">
        <f t="shared" ca="1" si="141"/>
        <v>800803.29978175205</v>
      </c>
      <c r="AK175" s="49">
        <f t="shared" ca="1" si="141"/>
        <v>800803.26190161204</v>
      </c>
      <c r="AL175" s="49">
        <f t="shared" ca="1" si="141"/>
        <v>800803.23399107601</v>
      </c>
      <c r="AM175" s="49">
        <f t="shared" ca="1" si="141"/>
        <v>800803.21689818311</v>
      </c>
      <c r="AN175" s="49">
        <f t="shared" ca="1" si="141"/>
        <v>800803.21114229201</v>
      </c>
      <c r="AO175" s="49">
        <f t="shared" ca="1" si="141"/>
        <v>800803.21689828904</v>
      </c>
      <c r="AP175" s="49">
        <f t="shared" ca="1" si="141"/>
        <v>800803.23399127193</v>
      </c>
      <c r="AQ175" s="49">
        <f t="shared" ca="1" si="141"/>
        <v>800803.26190187607</v>
      </c>
      <c r="AR175" s="49">
        <f t="shared" ca="1" si="141"/>
        <v>800803.29978205299</v>
      </c>
      <c r="AS175" s="49">
        <f t="shared" ca="1" si="141"/>
        <v>800803.34648082603</v>
      </c>
      <c r="AT175" s="49">
        <f t="shared" ca="1" si="141"/>
        <v>800803.40057927894</v>
      </c>
      <c r="AU175" s="49">
        <f t="shared" ca="1" si="141"/>
        <v>800803.46043365798</v>
      </c>
      <c r="AV175" s="49">
        <f t="shared" ca="1" si="141"/>
        <v>800803.524225323</v>
      </c>
      <c r="AW175" s="49">
        <f t="shared" ca="1" si="141"/>
        <v>800803.59001599997</v>
      </c>
      <c r="AX175" s="49">
        <f t="shared" ca="1" si="141"/>
        <v>800803.65580667602</v>
      </c>
      <c r="AY175" s="49">
        <f t="shared" ca="1" si="141"/>
        <v>800803.71959834092</v>
      </c>
      <c r="AZ175" s="49">
        <f t="shared" ca="1" si="141"/>
        <v>800803.77945272101</v>
      </c>
      <c r="BA175" s="49">
        <f t="shared" ca="1" si="141"/>
        <v>800803.8335511731</v>
      </c>
      <c r="BB175" s="49">
        <f t="shared" ca="1" si="141"/>
        <v>800803.88024994603</v>
      </c>
      <c r="BC175" s="49">
        <f t="shared" ca="1" si="141"/>
        <v>800803.91813012294</v>
      </c>
      <c r="BD175" s="49">
        <f t="shared" ca="1" si="141"/>
        <v>800803.9460407279</v>
      </c>
      <c r="BE175" s="49">
        <f t="shared" ca="1" si="141"/>
        <v>800803.96313371102</v>
      </c>
      <c r="BF175" s="49">
        <f t="shared" ca="1" si="141"/>
        <v>800803.96888970793</v>
      </c>
      <c r="BG175" s="49">
        <f t="shared" ca="1" si="141"/>
        <v>800803.96313381603</v>
      </c>
      <c r="BH175" s="49">
        <f t="shared" ca="1" si="141"/>
        <v>800803.94604092406</v>
      </c>
      <c r="BI175" s="49">
        <f t="shared" ca="1" si="141"/>
        <v>800803.91813038697</v>
      </c>
      <c r="BJ175" s="49">
        <f t="shared" ca="1" si="141"/>
        <v>800803.88025024708</v>
      </c>
      <c r="BK175" s="49">
        <f t="shared" ca="1" si="141"/>
        <v>800803.83355147403</v>
      </c>
      <c r="BL175" s="49">
        <f t="shared" ca="1" si="141"/>
        <v>800803.77945298492</v>
      </c>
      <c r="BM175" s="49">
        <f t="shared" ca="1" si="141"/>
        <v>800803.71959853696</v>
      </c>
      <c r="BN175" s="49">
        <f t="shared" ca="1" si="141"/>
        <v>800803.65580678103</v>
      </c>
    </row>
    <row r="177" spans="30:66" x14ac:dyDescent="0.25">
      <c r="AD177" s="25" t="s">
        <v>327</v>
      </c>
      <c r="AE177" s="47" t="s">
        <v>780</v>
      </c>
      <c r="AF177" s="47" t="s">
        <v>851</v>
      </c>
      <c r="AG177" s="47" t="s">
        <v>852</v>
      </c>
      <c r="AH177" s="47" t="s">
        <v>853</v>
      </c>
      <c r="AI177" s="47" t="s">
        <v>854</v>
      </c>
      <c r="AJ177" s="47" t="s">
        <v>855</v>
      </c>
      <c r="AK177" s="47" t="s">
        <v>856</v>
      </c>
      <c r="AL177" s="47" t="s">
        <v>857</v>
      </c>
      <c r="AM177" s="47" t="s">
        <v>858</v>
      </c>
      <c r="AN177" s="47" t="s">
        <v>859</v>
      </c>
      <c r="AO177" s="47" t="s">
        <v>860</v>
      </c>
      <c r="AP177" s="47" t="s">
        <v>861</v>
      </c>
      <c r="AQ177" s="47" t="s">
        <v>862</v>
      </c>
      <c r="AR177" s="47" t="s">
        <v>863</v>
      </c>
      <c r="AS177" s="47" t="s">
        <v>864</v>
      </c>
      <c r="AT177" s="47" t="s">
        <v>865</v>
      </c>
      <c r="AU177" s="47" t="s">
        <v>866</v>
      </c>
      <c r="AV177" s="47" t="s">
        <v>867</v>
      </c>
      <c r="AW177" s="47" t="s">
        <v>868</v>
      </c>
      <c r="AX177" s="47" t="s">
        <v>869</v>
      </c>
      <c r="AY177" s="47" t="s">
        <v>870</v>
      </c>
      <c r="AZ177" s="47" t="s">
        <v>871</v>
      </c>
      <c r="BA177" s="47" t="s">
        <v>872</v>
      </c>
      <c r="BB177" s="47" t="s">
        <v>873</v>
      </c>
      <c r="BC177" s="47" t="s">
        <v>874</v>
      </c>
      <c r="BD177" s="47" t="s">
        <v>875</v>
      </c>
      <c r="BE177" s="47" t="s">
        <v>876</v>
      </c>
      <c r="BF177" s="47" t="s">
        <v>877</v>
      </c>
      <c r="BG177" s="47" t="s">
        <v>878</v>
      </c>
      <c r="BH177" s="47" t="s">
        <v>879</v>
      </c>
      <c r="BI177" s="47" t="s">
        <v>880</v>
      </c>
      <c r="BJ177" s="47" t="s">
        <v>881</v>
      </c>
      <c r="BK177" s="47" t="s">
        <v>882</v>
      </c>
      <c r="BL177" s="47" t="s">
        <v>883</v>
      </c>
      <c r="BM177" s="47" t="s">
        <v>884</v>
      </c>
      <c r="BN177" s="47" t="s">
        <v>885</v>
      </c>
    </row>
    <row r="178" spans="30:66" x14ac:dyDescent="0.25">
      <c r="AD178" s="23" t="s">
        <v>287</v>
      </c>
      <c r="AE178" s="48">
        <f t="shared" ref="AE178:BN178" ca="1" si="142">$R$54/2</f>
        <v>46.536000000000001</v>
      </c>
      <c r="AF178" s="48">
        <f t="shared" ca="1" si="142"/>
        <v>46.536000000000001</v>
      </c>
      <c r="AG178" s="48">
        <f t="shared" ca="1" si="142"/>
        <v>46.536000000000001</v>
      </c>
      <c r="AH178" s="48">
        <f t="shared" ca="1" si="142"/>
        <v>46.536000000000001</v>
      </c>
      <c r="AI178" s="48">
        <f t="shared" ca="1" si="142"/>
        <v>46.536000000000001</v>
      </c>
      <c r="AJ178" s="48">
        <f t="shared" ca="1" si="142"/>
        <v>46.536000000000001</v>
      </c>
      <c r="AK178" s="48">
        <f t="shared" ca="1" si="142"/>
        <v>46.536000000000001</v>
      </c>
      <c r="AL178" s="48">
        <f t="shared" ca="1" si="142"/>
        <v>46.536000000000001</v>
      </c>
      <c r="AM178" s="48">
        <f t="shared" ca="1" si="142"/>
        <v>46.536000000000001</v>
      </c>
      <c r="AN178" s="48">
        <f t="shared" ca="1" si="142"/>
        <v>46.536000000000001</v>
      </c>
      <c r="AO178" s="48">
        <f t="shared" ca="1" si="142"/>
        <v>46.536000000000001</v>
      </c>
      <c r="AP178" s="48">
        <f t="shared" ca="1" si="142"/>
        <v>46.536000000000001</v>
      </c>
      <c r="AQ178" s="48">
        <f t="shared" ca="1" si="142"/>
        <v>46.536000000000001</v>
      </c>
      <c r="AR178" s="48">
        <f t="shared" ca="1" si="142"/>
        <v>46.536000000000001</v>
      </c>
      <c r="AS178" s="48">
        <f t="shared" ca="1" si="142"/>
        <v>46.536000000000001</v>
      </c>
      <c r="AT178" s="48">
        <f t="shared" ca="1" si="142"/>
        <v>46.536000000000001</v>
      </c>
      <c r="AU178" s="48">
        <f t="shared" ca="1" si="142"/>
        <v>46.536000000000001</v>
      </c>
      <c r="AV178" s="48">
        <f t="shared" ca="1" si="142"/>
        <v>46.536000000000001</v>
      </c>
      <c r="AW178" s="48">
        <f t="shared" ca="1" si="142"/>
        <v>46.536000000000001</v>
      </c>
      <c r="AX178" s="48">
        <f t="shared" ca="1" si="142"/>
        <v>46.536000000000001</v>
      </c>
      <c r="AY178" s="48">
        <f t="shared" ca="1" si="142"/>
        <v>46.536000000000001</v>
      </c>
      <c r="AZ178" s="48">
        <f t="shared" ca="1" si="142"/>
        <v>46.536000000000001</v>
      </c>
      <c r="BA178" s="48">
        <f t="shared" ca="1" si="142"/>
        <v>46.536000000000001</v>
      </c>
      <c r="BB178" s="48">
        <f t="shared" ca="1" si="142"/>
        <v>46.536000000000001</v>
      </c>
      <c r="BC178" s="48">
        <f t="shared" ca="1" si="142"/>
        <v>46.536000000000001</v>
      </c>
      <c r="BD178" s="48">
        <f t="shared" ca="1" si="142"/>
        <v>46.536000000000001</v>
      </c>
      <c r="BE178" s="48">
        <f t="shared" ca="1" si="142"/>
        <v>46.536000000000001</v>
      </c>
      <c r="BF178" s="48">
        <f t="shared" ca="1" si="142"/>
        <v>46.536000000000001</v>
      </c>
      <c r="BG178" s="48">
        <f t="shared" ca="1" si="142"/>
        <v>46.536000000000001</v>
      </c>
      <c r="BH178" s="48">
        <f t="shared" ca="1" si="142"/>
        <v>46.536000000000001</v>
      </c>
      <c r="BI178" s="48">
        <f t="shared" ca="1" si="142"/>
        <v>46.536000000000001</v>
      </c>
      <c r="BJ178" s="48">
        <f t="shared" ca="1" si="142"/>
        <v>46.536000000000001</v>
      </c>
      <c r="BK178" s="48">
        <f t="shared" ca="1" si="142"/>
        <v>46.536000000000001</v>
      </c>
      <c r="BL178" s="48">
        <f t="shared" ca="1" si="142"/>
        <v>46.536000000000001</v>
      </c>
      <c r="BM178" s="48">
        <f t="shared" ca="1" si="142"/>
        <v>46.536000000000001</v>
      </c>
      <c r="BN178" s="48">
        <f t="shared" ca="1" si="142"/>
        <v>46.536000000000001</v>
      </c>
    </row>
    <row r="179" spans="30:66" x14ac:dyDescent="0.25">
      <c r="AD179" s="23" t="s">
        <v>284</v>
      </c>
      <c r="AE179" s="48">
        <f t="shared" ref="AE179:BN179" si="143">$D$25</f>
        <v>260330.3</v>
      </c>
      <c r="AF179" s="48">
        <f t="shared" si="143"/>
        <v>260330.3</v>
      </c>
      <c r="AG179" s="48">
        <f t="shared" si="143"/>
        <v>260330.3</v>
      </c>
      <c r="AH179" s="48">
        <f t="shared" si="143"/>
        <v>260330.3</v>
      </c>
      <c r="AI179" s="48">
        <f t="shared" si="143"/>
        <v>260330.3</v>
      </c>
      <c r="AJ179" s="48">
        <f t="shared" si="143"/>
        <v>260330.3</v>
      </c>
      <c r="AK179" s="48">
        <f t="shared" si="143"/>
        <v>260330.3</v>
      </c>
      <c r="AL179" s="48">
        <f t="shared" si="143"/>
        <v>260330.3</v>
      </c>
      <c r="AM179" s="48">
        <f t="shared" si="143"/>
        <v>260330.3</v>
      </c>
      <c r="AN179" s="48">
        <f t="shared" si="143"/>
        <v>260330.3</v>
      </c>
      <c r="AO179" s="48">
        <f t="shared" si="143"/>
        <v>260330.3</v>
      </c>
      <c r="AP179" s="48">
        <f t="shared" si="143"/>
        <v>260330.3</v>
      </c>
      <c r="AQ179" s="48">
        <f t="shared" si="143"/>
        <v>260330.3</v>
      </c>
      <c r="AR179" s="48">
        <f t="shared" si="143"/>
        <v>260330.3</v>
      </c>
      <c r="AS179" s="48">
        <f t="shared" si="143"/>
        <v>260330.3</v>
      </c>
      <c r="AT179" s="48">
        <f t="shared" si="143"/>
        <v>260330.3</v>
      </c>
      <c r="AU179" s="48">
        <f t="shared" si="143"/>
        <v>260330.3</v>
      </c>
      <c r="AV179" s="48">
        <f t="shared" si="143"/>
        <v>260330.3</v>
      </c>
      <c r="AW179" s="48">
        <f t="shared" si="143"/>
        <v>260330.3</v>
      </c>
      <c r="AX179" s="48">
        <f t="shared" si="143"/>
        <v>260330.3</v>
      </c>
      <c r="AY179" s="48">
        <f t="shared" si="143"/>
        <v>260330.3</v>
      </c>
      <c r="AZ179" s="48">
        <f t="shared" si="143"/>
        <v>260330.3</v>
      </c>
      <c r="BA179" s="48">
        <f t="shared" si="143"/>
        <v>260330.3</v>
      </c>
      <c r="BB179" s="48">
        <f t="shared" si="143"/>
        <v>260330.3</v>
      </c>
      <c r="BC179" s="48">
        <f t="shared" si="143"/>
        <v>260330.3</v>
      </c>
      <c r="BD179" s="48">
        <f t="shared" si="143"/>
        <v>260330.3</v>
      </c>
      <c r="BE179" s="48">
        <f t="shared" si="143"/>
        <v>260330.3</v>
      </c>
      <c r="BF179" s="48">
        <f t="shared" si="143"/>
        <v>260330.3</v>
      </c>
      <c r="BG179" s="48">
        <f t="shared" si="143"/>
        <v>260330.3</v>
      </c>
      <c r="BH179" s="48">
        <f t="shared" si="143"/>
        <v>260330.3</v>
      </c>
      <c r="BI179" s="48">
        <f t="shared" si="143"/>
        <v>260330.3</v>
      </c>
      <c r="BJ179" s="48">
        <f t="shared" si="143"/>
        <v>260330.3</v>
      </c>
      <c r="BK179" s="48">
        <f t="shared" si="143"/>
        <v>260330.3</v>
      </c>
      <c r="BL179" s="48">
        <f t="shared" si="143"/>
        <v>260330.3</v>
      </c>
      <c r="BM179" s="48">
        <f t="shared" si="143"/>
        <v>260330.3</v>
      </c>
      <c r="BN179" s="48">
        <f t="shared" si="143"/>
        <v>260330.3</v>
      </c>
    </row>
    <row r="180" spans="30:66" x14ac:dyDescent="0.25">
      <c r="AD180" s="23" t="s">
        <v>289</v>
      </c>
      <c r="AE180" s="48">
        <f t="shared" ref="AE180:BN180" si="144">$D$26</f>
        <v>800803.59</v>
      </c>
      <c r="AF180" s="48">
        <f t="shared" si="144"/>
        <v>800803.59</v>
      </c>
      <c r="AG180" s="48">
        <f t="shared" si="144"/>
        <v>800803.59</v>
      </c>
      <c r="AH180" s="48">
        <f t="shared" si="144"/>
        <v>800803.59</v>
      </c>
      <c r="AI180" s="48">
        <f t="shared" si="144"/>
        <v>800803.59</v>
      </c>
      <c r="AJ180" s="48">
        <f t="shared" si="144"/>
        <v>800803.59</v>
      </c>
      <c r="AK180" s="48">
        <f t="shared" si="144"/>
        <v>800803.59</v>
      </c>
      <c r="AL180" s="48">
        <f t="shared" si="144"/>
        <v>800803.59</v>
      </c>
      <c r="AM180" s="48">
        <f t="shared" si="144"/>
        <v>800803.59</v>
      </c>
      <c r="AN180" s="48">
        <f t="shared" si="144"/>
        <v>800803.59</v>
      </c>
      <c r="AO180" s="48">
        <f t="shared" si="144"/>
        <v>800803.59</v>
      </c>
      <c r="AP180" s="48">
        <f t="shared" si="144"/>
        <v>800803.59</v>
      </c>
      <c r="AQ180" s="48">
        <f t="shared" si="144"/>
        <v>800803.59</v>
      </c>
      <c r="AR180" s="48">
        <f t="shared" si="144"/>
        <v>800803.59</v>
      </c>
      <c r="AS180" s="48">
        <f t="shared" si="144"/>
        <v>800803.59</v>
      </c>
      <c r="AT180" s="48">
        <f t="shared" si="144"/>
        <v>800803.59</v>
      </c>
      <c r="AU180" s="48">
        <f t="shared" si="144"/>
        <v>800803.59</v>
      </c>
      <c r="AV180" s="48">
        <f t="shared" si="144"/>
        <v>800803.59</v>
      </c>
      <c r="AW180" s="48">
        <f t="shared" si="144"/>
        <v>800803.59</v>
      </c>
      <c r="AX180" s="48">
        <f t="shared" si="144"/>
        <v>800803.59</v>
      </c>
      <c r="AY180" s="48">
        <f t="shared" si="144"/>
        <v>800803.59</v>
      </c>
      <c r="AZ180" s="48">
        <f t="shared" si="144"/>
        <v>800803.59</v>
      </c>
      <c r="BA180" s="48">
        <f t="shared" si="144"/>
        <v>800803.59</v>
      </c>
      <c r="BB180" s="48">
        <f t="shared" si="144"/>
        <v>800803.59</v>
      </c>
      <c r="BC180" s="48">
        <f t="shared" si="144"/>
        <v>800803.59</v>
      </c>
      <c r="BD180" s="48">
        <f t="shared" si="144"/>
        <v>800803.59</v>
      </c>
      <c r="BE180" s="48">
        <f t="shared" si="144"/>
        <v>800803.59</v>
      </c>
      <c r="BF180" s="48">
        <f t="shared" si="144"/>
        <v>800803.59</v>
      </c>
      <c r="BG180" s="48">
        <f t="shared" si="144"/>
        <v>800803.59</v>
      </c>
      <c r="BH180" s="48">
        <f t="shared" si="144"/>
        <v>800803.59</v>
      </c>
      <c r="BI180" s="48">
        <f t="shared" si="144"/>
        <v>800803.59</v>
      </c>
      <c r="BJ180" s="48">
        <f t="shared" si="144"/>
        <v>800803.59</v>
      </c>
      <c r="BK180" s="48">
        <f t="shared" si="144"/>
        <v>800803.59</v>
      </c>
      <c r="BL180" s="48">
        <f t="shared" si="144"/>
        <v>800803.59</v>
      </c>
      <c r="BM180" s="48">
        <f t="shared" si="144"/>
        <v>800803.59</v>
      </c>
      <c r="BN180" s="48">
        <f t="shared" si="144"/>
        <v>800803.59</v>
      </c>
    </row>
    <row r="181" spans="30:66" x14ac:dyDescent="0.25">
      <c r="AD181" s="23" t="s">
        <v>294</v>
      </c>
      <c r="AE181" s="48">
        <v>0</v>
      </c>
      <c r="AF181" s="48">
        <f>AE181+10</f>
        <v>10</v>
      </c>
      <c r="AG181" s="48">
        <f t="shared" ref="AG181:BN181" si="145">AF181+10</f>
        <v>20</v>
      </c>
      <c r="AH181" s="48">
        <f t="shared" si="145"/>
        <v>30</v>
      </c>
      <c r="AI181" s="48">
        <f t="shared" si="145"/>
        <v>40</v>
      </c>
      <c r="AJ181" s="48">
        <f t="shared" si="145"/>
        <v>50</v>
      </c>
      <c r="AK181" s="48">
        <f t="shared" si="145"/>
        <v>60</v>
      </c>
      <c r="AL181" s="48">
        <f t="shared" si="145"/>
        <v>70</v>
      </c>
      <c r="AM181" s="48">
        <f t="shared" si="145"/>
        <v>80</v>
      </c>
      <c r="AN181" s="48">
        <f t="shared" si="145"/>
        <v>90</v>
      </c>
      <c r="AO181" s="48">
        <f t="shared" si="145"/>
        <v>100</v>
      </c>
      <c r="AP181" s="48">
        <f t="shared" si="145"/>
        <v>110</v>
      </c>
      <c r="AQ181" s="48">
        <f t="shared" si="145"/>
        <v>120</v>
      </c>
      <c r="AR181" s="48">
        <f t="shared" si="145"/>
        <v>130</v>
      </c>
      <c r="AS181" s="48">
        <f t="shared" si="145"/>
        <v>140</v>
      </c>
      <c r="AT181" s="48">
        <f t="shared" si="145"/>
        <v>150</v>
      </c>
      <c r="AU181" s="48">
        <f t="shared" si="145"/>
        <v>160</v>
      </c>
      <c r="AV181" s="48">
        <f t="shared" si="145"/>
        <v>170</v>
      </c>
      <c r="AW181" s="48">
        <f t="shared" si="145"/>
        <v>180</v>
      </c>
      <c r="AX181" s="48">
        <f t="shared" si="145"/>
        <v>190</v>
      </c>
      <c r="AY181" s="48">
        <f t="shared" si="145"/>
        <v>200</v>
      </c>
      <c r="AZ181" s="48">
        <f t="shared" si="145"/>
        <v>210</v>
      </c>
      <c r="BA181" s="48">
        <f t="shared" si="145"/>
        <v>220</v>
      </c>
      <c r="BB181" s="48">
        <f t="shared" si="145"/>
        <v>230</v>
      </c>
      <c r="BC181" s="48">
        <f t="shared" si="145"/>
        <v>240</v>
      </c>
      <c r="BD181" s="48">
        <f t="shared" si="145"/>
        <v>250</v>
      </c>
      <c r="BE181" s="48">
        <f t="shared" si="145"/>
        <v>260</v>
      </c>
      <c r="BF181" s="48">
        <f t="shared" si="145"/>
        <v>270</v>
      </c>
      <c r="BG181" s="48">
        <f t="shared" si="145"/>
        <v>280</v>
      </c>
      <c r="BH181" s="48">
        <f t="shared" si="145"/>
        <v>290</v>
      </c>
      <c r="BI181" s="48">
        <f t="shared" si="145"/>
        <v>300</v>
      </c>
      <c r="BJ181" s="48">
        <f t="shared" si="145"/>
        <v>310</v>
      </c>
      <c r="BK181" s="48">
        <f t="shared" si="145"/>
        <v>320</v>
      </c>
      <c r="BL181" s="48">
        <f t="shared" si="145"/>
        <v>330</v>
      </c>
      <c r="BM181" s="48">
        <f t="shared" si="145"/>
        <v>340</v>
      </c>
      <c r="BN181" s="48">
        <f t="shared" si="145"/>
        <v>350</v>
      </c>
    </row>
    <row r="182" spans="30:66" x14ac:dyDescent="0.25">
      <c r="AD182" s="23"/>
      <c r="AE182" s="48">
        <f t="shared" ref="AE182:BN182" ca="1" si="146">ROUND((AE178/6076.115489),15)</f>
        <v>7.6588406004210003E-3</v>
      </c>
      <c r="AF182" s="48">
        <f t="shared" ca="1" si="146"/>
        <v>7.6588406004210003E-3</v>
      </c>
      <c r="AG182" s="48">
        <f t="shared" ca="1" si="146"/>
        <v>7.6588406004210003E-3</v>
      </c>
      <c r="AH182" s="48">
        <f t="shared" ca="1" si="146"/>
        <v>7.6588406004210003E-3</v>
      </c>
      <c r="AI182" s="48">
        <f t="shared" ca="1" si="146"/>
        <v>7.6588406004210003E-3</v>
      </c>
      <c r="AJ182" s="48">
        <f t="shared" ca="1" si="146"/>
        <v>7.6588406004210003E-3</v>
      </c>
      <c r="AK182" s="48">
        <f t="shared" ca="1" si="146"/>
        <v>7.6588406004210003E-3</v>
      </c>
      <c r="AL182" s="48">
        <f t="shared" ca="1" si="146"/>
        <v>7.6588406004210003E-3</v>
      </c>
      <c r="AM182" s="48">
        <f t="shared" ca="1" si="146"/>
        <v>7.6588406004210003E-3</v>
      </c>
      <c r="AN182" s="48">
        <f t="shared" ca="1" si="146"/>
        <v>7.6588406004210003E-3</v>
      </c>
      <c r="AO182" s="48">
        <f t="shared" ca="1" si="146"/>
        <v>7.6588406004210003E-3</v>
      </c>
      <c r="AP182" s="48">
        <f t="shared" ca="1" si="146"/>
        <v>7.6588406004210003E-3</v>
      </c>
      <c r="AQ182" s="48">
        <f t="shared" ca="1" si="146"/>
        <v>7.6588406004210003E-3</v>
      </c>
      <c r="AR182" s="48">
        <f t="shared" ca="1" si="146"/>
        <v>7.6588406004210003E-3</v>
      </c>
      <c r="AS182" s="48">
        <f t="shared" ca="1" si="146"/>
        <v>7.6588406004210003E-3</v>
      </c>
      <c r="AT182" s="48">
        <f t="shared" ca="1" si="146"/>
        <v>7.6588406004210003E-3</v>
      </c>
      <c r="AU182" s="48">
        <f t="shared" ca="1" si="146"/>
        <v>7.6588406004210003E-3</v>
      </c>
      <c r="AV182" s="48">
        <f t="shared" ca="1" si="146"/>
        <v>7.6588406004210003E-3</v>
      </c>
      <c r="AW182" s="48">
        <f t="shared" ca="1" si="146"/>
        <v>7.6588406004210003E-3</v>
      </c>
      <c r="AX182" s="48">
        <f t="shared" ca="1" si="146"/>
        <v>7.6588406004210003E-3</v>
      </c>
      <c r="AY182" s="48">
        <f t="shared" ca="1" si="146"/>
        <v>7.6588406004210003E-3</v>
      </c>
      <c r="AZ182" s="48">
        <f t="shared" ca="1" si="146"/>
        <v>7.6588406004210003E-3</v>
      </c>
      <c r="BA182" s="48">
        <f t="shared" ca="1" si="146"/>
        <v>7.6588406004210003E-3</v>
      </c>
      <c r="BB182" s="48">
        <f t="shared" ca="1" si="146"/>
        <v>7.6588406004210003E-3</v>
      </c>
      <c r="BC182" s="48">
        <f t="shared" ca="1" si="146"/>
        <v>7.6588406004210003E-3</v>
      </c>
      <c r="BD182" s="48">
        <f t="shared" ca="1" si="146"/>
        <v>7.6588406004210003E-3</v>
      </c>
      <c r="BE182" s="48">
        <f t="shared" ca="1" si="146"/>
        <v>7.6588406004210003E-3</v>
      </c>
      <c r="BF182" s="48">
        <f t="shared" ca="1" si="146"/>
        <v>7.6588406004210003E-3</v>
      </c>
      <c r="BG182" s="48">
        <f t="shared" ca="1" si="146"/>
        <v>7.6588406004210003E-3</v>
      </c>
      <c r="BH182" s="48">
        <f t="shared" ca="1" si="146"/>
        <v>7.6588406004210003E-3</v>
      </c>
      <c r="BI182" s="48">
        <f t="shared" ca="1" si="146"/>
        <v>7.6588406004210003E-3</v>
      </c>
      <c r="BJ182" s="48">
        <f t="shared" ca="1" si="146"/>
        <v>7.6588406004210003E-3</v>
      </c>
      <c r="BK182" s="48">
        <f t="shared" ca="1" si="146"/>
        <v>7.6588406004210003E-3</v>
      </c>
      <c r="BL182" s="48">
        <f t="shared" ca="1" si="146"/>
        <v>7.6588406004210003E-3</v>
      </c>
      <c r="BM182" s="48">
        <f t="shared" ca="1" si="146"/>
        <v>7.6588406004210003E-3</v>
      </c>
      <c r="BN182" s="48">
        <f t="shared" ca="1" si="146"/>
        <v>7.6588406004210003E-3</v>
      </c>
    </row>
    <row r="183" spans="30:66" x14ac:dyDescent="0.25">
      <c r="AD183" s="23"/>
      <c r="AE183" s="48">
        <f>ROUND((((ROUND(((((((AE179)-((TRUNC(AE179/100))*100))/60)+(TRUNC(AE179/100))-((TRUNC(AE179/10000))*100))/60)+((TRUNC(AE179/10000))))*1000000,2))/1000000)*(PI()/180)),15)</f>
        <v>0.45480516874807703</v>
      </c>
      <c r="AF183" s="48">
        <f t="shared" ref="AF183:BN183" si="147">ROUND((((ROUND(((((((AF179)-((TRUNC(AF179/100))*100))/60)+(TRUNC(AF179/100))-((TRUNC(AF179/10000))*100))/60)+((TRUNC(AF179/10000))))*1000000,2))/1000000)*(PI()/180)),15)</f>
        <v>0.45480516874807703</v>
      </c>
      <c r="AG183" s="48">
        <f t="shared" si="147"/>
        <v>0.45480516874807703</v>
      </c>
      <c r="AH183" s="48">
        <f t="shared" si="147"/>
        <v>0.45480516874807703</v>
      </c>
      <c r="AI183" s="48">
        <f t="shared" si="147"/>
        <v>0.45480516874807703</v>
      </c>
      <c r="AJ183" s="48">
        <f t="shared" si="147"/>
        <v>0.45480516874807703</v>
      </c>
      <c r="AK183" s="48">
        <f t="shared" si="147"/>
        <v>0.45480516874807703</v>
      </c>
      <c r="AL183" s="48">
        <f t="shared" si="147"/>
        <v>0.45480516874807703</v>
      </c>
      <c r="AM183" s="48">
        <f t="shared" si="147"/>
        <v>0.45480516874807703</v>
      </c>
      <c r="AN183" s="48">
        <f t="shared" si="147"/>
        <v>0.45480516874807703</v>
      </c>
      <c r="AO183" s="48">
        <f t="shared" si="147"/>
        <v>0.45480516874807703</v>
      </c>
      <c r="AP183" s="48">
        <f t="shared" si="147"/>
        <v>0.45480516874807703</v>
      </c>
      <c r="AQ183" s="48">
        <f t="shared" si="147"/>
        <v>0.45480516874807703</v>
      </c>
      <c r="AR183" s="48">
        <f t="shared" si="147"/>
        <v>0.45480516874807703</v>
      </c>
      <c r="AS183" s="48">
        <f t="shared" si="147"/>
        <v>0.45480516874807703</v>
      </c>
      <c r="AT183" s="48">
        <f t="shared" si="147"/>
        <v>0.45480516874807703</v>
      </c>
      <c r="AU183" s="48">
        <f t="shared" si="147"/>
        <v>0.45480516874807703</v>
      </c>
      <c r="AV183" s="48">
        <f t="shared" si="147"/>
        <v>0.45480516874807703</v>
      </c>
      <c r="AW183" s="48">
        <f t="shared" si="147"/>
        <v>0.45480516874807703</v>
      </c>
      <c r="AX183" s="48">
        <f t="shared" si="147"/>
        <v>0.45480516874807703</v>
      </c>
      <c r="AY183" s="48">
        <f t="shared" si="147"/>
        <v>0.45480516874807703</v>
      </c>
      <c r="AZ183" s="48">
        <f t="shared" si="147"/>
        <v>0.45480516874807703</v>
      </c>
      <c r="BA183" s="48">
        <f t="shared" si="147"/>
        <v>0.45480516874807703</v>
      </c>
      <c r="BB183" s="48">
        <f t="shared" si="147"/>
        <v>0.45480516874807703</v>
      </c>
      <c r="BC183" s="48">
        <f t="shared" si="147"/>
        <v>0.45480516874807703</v>
      </c>
      <c r="BD183" s="48">
        <f t="shared" si="147"/>
        <v>0.45480516874807703</v>
      </c>
      <c r="BE183" s="48">
        <f t="shared" si="147"/>
        <v>0.45480516874807703</v>
      </c>
      <c r="BF183" s="48">
        <f t="shared" si="147"/>
        <v>0.45480516874807703</v>
      </c>
      <c r="BG183" s="48">
        <f t="shared" si="147"/>
        <v>0.45480516874807703</v>
      </c>
      <c r="BH183" s="48">
        <f t="shared" si="147"/>
        <v>0.45480516874807703</v>
      </c>
      <c r="BI183" s="48">
        <f t="shared" si="147"/>
        <v>0.45480516874807703</v>
      </c>
      <c r="BJ183" s="48">
        <f t="shared" si="147"/>
        <v>0.45480516874807703</v>
      </c>
      <c r="BK183" s="48">
        <f t="shared" si="147"/>
        <v>0.45480516874807703</v>
      </c>
      <c r="BL183" s="48">
        <f t="shared" si="147"/>
        <v>0.45480516874807703</v>
      </c>
      <c r="BM183" s="48">
        <f t="shared" si="147"/>
        <v>0.45480516874807703</v>
      </c>
      <c r="BN183" s="48">
        <f t="shared" si="147"/>
        <v>0.45480516874807703</v>
      </c>
    </row>
    <row r="184" spans="30:66" x14ac:dyDescent="0.25">
      <c r="AD184" s="23"/>
      <c r="AE184" s="48">
        <f>ROUND((((ROUND(((((((AE180)-((TRUNC(AE180/100))*100))/60)+(TRUNC(AE180/100))-((TRUNC(AE180/10000))*100))/60)+((TRUNC(AE180/10000))))*1000000,2))/1000000)*(PI()/180)),15)</f>
        <v>1.39860791215351</v>
      </c>
      <c r="AF184" s="48">
        <f t="shared" ref="AF184:BN184" si="148">ROUND((((ROUND(((((((AF180)-((TRUNC(AF180/100))*100))/60)+(TRUNC(AF180/100))-((TRUNC(AF180/10000))*100))/60)+((TRUNC(AF180/10000))))*1000000,2))/1000000)*(PI()/180)),15)</f>
        <v>1.39860791215351</v>
      </c>
      <c r="AG184" s="48">
        <f t="shared" si="148"/>
        <v>1.39860791215351</v>
      </c>
      <c r="AH184" s="48">
        <f t="shared" si="148"/>
        <v>1.39860791215351</v>
      </c>
      <c r="AI184" s="48">
        <f t="shared" si="148"/>
        <v>1.39860791215351</v>
      </c>
      <c r="AJ184" s="48">
        <f t="shared" si="148"/>
        <v>1.39860791215351</v>
      </c>
      <c r="AK184" s="48">
        <f t="shared" si="148"/>
        <v>1.39860791215351</v>
      </c>
      <c r="AL184" s="48">
        <f t="shared" si="148"/>
        <v>1.39860791215351</v>
      </c>
      <c r="AM184" s="48">
        <f t="shared" si="148"/>
        <v>1.39860791215351</v>
      </c>
      <c r="AN184" s="48">
        <f t="shared" si="148"/>
        <v>1.39860791215351</v>
      </c>
      <c r="AO184" s="48">
        <f t="shared" si="148"/>
        <v>1.39860791215351</v>
      </c>
      <c r="AP184" s="48">
        <f t="shared" si="148"/>
        <v>1.39860791215351</v>
      </c>
      <c r="AQ184" s="48">
        <f t="shared" si="148"/>
        <v>1.39860791215351</v>
      </c>
      <c r="AR184" s="48">
        <f t="shared" si="148"/>
        <v>1.39860791215351</v>
      </c>
      <c r="AS184" s="48">
        <f t="shared" si="148"/>
        <v>1.39860791215351</v>
      </c>
      <c r="AT184" s="48">
        <f t="shared" si="148"/>
        <v>1.39860791215351</v>
      </c>
      <c r="AU184" s="48">
        <f t="shared" si="148"/>
        <v>1.39860791215351</v>
      </c>
      <c r="AV184" s="48">
        <f t="shared" si="148"/>
        <v>1.39860791215351</v>
      </c>
      <c r="AW184" s="48">
        <f t="shared" si="148"/>
        <v>1.39860791215351</v>
      </c>
      <c r="AX184" s="48">
        <f t="shared" si="148"/>
        <v>1.39860791215351</v>
      </c>
      <c r="AY184" s="48">
        <f t="shared" si="148"/>
        <v>1.39860791215351</v>
      </c>
      <c r="AZ184" s="48">
        <f t="shared" si="148"/>
        <v>1.39860791215351</v>
      </c>
      <c r="BA184" s="48">
        <f t="shared" si="148"/>
        <v>1.39860791215351</v>
      </c>
      <c r="BB184" s="48">
        <f t="shared" si="148"/>
        <v>1.39860791215351</v>
      </c>
      <c r="BC184" s="48">
        <f t="shared" si="148"/>
        <v>1.39860791215351</v>
      </c>
      <c r="BD184" s="48">
        <f t="shared" si="148"/>
        <v>1.39860791215351</v>
      </c>
      <c r="BE184" s="48">
        <f t="shared" si="148"/>
        <v>1.39860791215351</v>
      </c>
      <c r="BF184" s="48">
        <f t="shared" si="148"/>
        <v>1.39860791215351</v>
      </c>
      <c r="BG184" s="48">
        <f t="shared" si="148"/>
        <v>1.39860791215351</v>
      </c>
      <c r="BH184" s="48">
        <f t="shared" si="148"/>
        <v>1.39860791215351</v>
      </c>
      <c r="BI184" s="48">
        <f t="shared" si="148"/>
        <v>1.39860791215351</v>
      </c>
      <c r="BJ184" s="48">
        <f t="shared" si="148"/>
        <v>1.39860791215351</v>
      </c>
      <c r="BK184" s="48">
        <f t="shared" si="148"/>
        <v>1.39860791215351</v>
      </c>
      <c r="BL184" s="48">
        <f t="shared" si="148"/>
        <v>1.39860791215351</v>
      </c>
      <c r="BM184" s="48">
        <f t="shared" si="148"/>
        <v>1.39860791215351</v>
      </c>
      <c r="BN184" s="48">
        <f t="shared" si="148"/>
        <v>1.39860791215351</v>
      </c>
    </row>
    <row r="185" spans="30:66" x14ac:dyDescent="0.25">
      <c r="AD185" s="23"/>
      <c r="AE185" s="48">
        <f>ROUND((((((AE181-(TRUNC(AE181)))*0.6)*100)-(TRUNC(((AE181-(TRUNC(AE181)))*0.6)*100)))*0.006)+(TRUNC(AE181)+((TRUNC(((AE181-(TRUNC(AE181)))*0.6)*100))/100)),15)</f>
        <v>0</v>
      </c>
      <c r="AF185" s="48">
        <f t="shared" ref="AF185:BN185" si="149">ROUND((((((AF181-(TRUNC(AF181)))*0.6)*100)-(TRUNC(((AF181-(TRUNC(AF181)))*0.6)*100)))*0.006)+(TRUNC(AF181)+((TRUNC(((AF181-(TRUNC(AF181)))*0.6)*100))/100)),15)</f>
        <v>10</v>
      </c>
      <c r="AG185" s="48">
        <f t="shared" si="149"/>
        <v>20</v>
      </c>
      <c r="AH185" s="48">
        <f t="shared" si="149"/>
        <v>30</v>
      </c>
      <c r="AI185" s="48">
        <f t="shared" si="149"/>
        <v>40</v>
      </c>
      <c r="AJ185" s="48">
        <f t="shared" si="149"/>
        <v>50</v>
      </c>
      <c r="AK185" s="48">
        <f t="shared" si="149"/>
        <v>60</v>
      </c>
      <c r="AL185" s="48">
        <f t="shared" si="149"/>
        <v>70</v>
      </c>
      <c r="AM185" s="48">
        <f t="shared" si="149"/>
        <v>80</v>
      </c>
      <c r="AN185" s="48">
        <f t="shared" si="149"/>
        <v>90</v>
      </c>
      <c r="AO185" s="48">
        <f t="shared" si="149"/>
        <v>100</v>
      </c>
      <c r="AP185" s="48">
        <f t="shared" si="149"/>
        <v>110</v>
      </c>
      <c r="AQ185" s="48">
        <f t="shared" si="149"/>
        <v>120</v>
      </c>
      <c r="AR185" s="48">
        <f t="shared" si="149"/>
        <v>130</v>
      </c>
      <c r="AS185" s="48">
        <f t="shared" si="149"/>
        <v>140</v>
      </c>
      <c r="AT185" s="48">
        <f t="shared" si="149"/>
        <v>150</v>
      </c>
      <c r="AU185" s="48">
        <f t="shared" si="149"/>
        <v>160</v>
      </c>
      <c r="AV185" s="48">
        <f t="shared" si="149"/>
        <v>170</v>
      </c>
      <c r="AW185" s="48">
        <f t="shared" si="149"/>
        <v>180</v>
      </c>
      <c r="AX185" s="48">
        <f t="shared" si="149"/>
        <v>190</v>
      </c>
      <c r="AY185" s="48">
        <f t="shared" si="149"/>
        <v>200</v>
      </c>
      <c r="AZ185" s="48">
        <f t="shared" si="149"/>
        <v>210</v>
      </c>
      <c r="BA185" s="48">
        <f t="shared" si="149"/>
        <v>220</v>
      </c>
      <c r="BB185" s="48">
        <f t="shared" si="149"/>
        <v>230</v>
      </c>
      <c r="BC185" s="48">
        <f t="shared" si="149"/>
        <v>240</v>
      </c>
      <c r="BD185" s="48">
        <f t="shared" si="149"/>
        <v>250</v>
      </c>
      <c r="BE185" s="48">
        <f t="shared" si="149"/>
        <v>260</v>
      </c>
      <c r="BF185" s="48">
        <f t="shared" si="149"/>
        <v>270</v>
      </c>
      <c r="BG185" s="48">
        <f t="shared" si="149"/>
        <v>280</v>
      </c>
      <c r="BH185" s="48">
        <f t="shared" si="149"/>
        <v>290</v>
      </c>
      <c r="BI185" s="48">
        <f t="shared" si="149"/>
        <v>300</v>
      </c>
      <c r="BJ185" s="48">
        <f t="shared" si="149"/>
        <v>310</v>
      </c>
      <c r="BK185" s="48">
        <f t="shared" si="149"/>
        <v>320</v>
      </c>
      <c r="BL185" s="48">
        <f t="shared" si="149"/>
        <v>330</v>
      </c>
      <c r="BM185" s="48">
        <f t="shared" si="149"/>
        <v>340</v>
      </c>
      <c r="BN185" s="48">
        <f t="shared" si="149"/>
        <v>350</v>
      </c>
    </row>
    <row r="186" spans="30:66" x14ac:dyDescent="0.25">
      <c r="AD186" s="23"/>
      <c r="AE186" s="48">
        <f>ROUND((AE181*(PI()/180)),15)</f>
        <v>0</v>
      </c>
      <c r="AF186" s="48">
        <f t="shared" ref="AF186:BN186" si="150">ROUND((AF181*(PI()/180)),15)</f>
        <v>0.174532925199433</v>
      </c>
      <c r="AG186" s="48">
        <f t="shared" si="150"/>
        <v>0.34906585039886601</v>
      </c>
      <c r="AH186" s="48">
        <f t="shared" si="150"/>
        <v>0.52359877559829904</v>
      </c>
      <c r="AI186" s="48">
        <f t="shared" si="150"/>
        <v>0.69813170079773201</v>
      </c>
      <c r="AJ186" s="48">
        <f t="shared" si="150"/>
        <v>0.87266462599716499</v>
      </c>
      <c r="AK186" s="48">
        <f t="shared" si="150"/>
        <v>1.0471975511966001</v>
      </c>
      <c r="AL186" s="48">
        <f t="shared" si="150"/>
        <v>1.2217304763960299</v>
      </c>
      <c r="AM186" s="48">
        <f t="shared" si="150"/>
        <v>1.39626340159546</v>
      </c>
      <c r="AN186" s="48">
        <f t="shared" si="150"/>
        <v>1.5707963267949001</v>
      </c>
      <c r="AO186" s="48">
        <f t="shared" si="150"/>
        <v>1.74532925199433</v>
      </c>
      <c r="AP186" s="48">
        <f t="shared" si="150"/>
        <v>1.9198621771937601</v>
      </c>
      <c r="AQ186" s="48">
        <f t="shared" si="150"/>
        <v>2.0943951023932001</v>
      </c>
      <c r="AR186" s="48">
        <f t="shared" si="150"/>
        <v>2.2689280275926298</v>
      </c>
      <c r="AS186" s="48">
        <f t="shared" si="150"/>
        <v>2.4434609527920599</v>
      </c>
      <c r="AT186" s="48">
        <f t="shared" si="150"/>
        <v>2.61799387799149</v>
      </c>
      <c r="AU186" s="48">
        <f t="shared" si="150"/>
        <v>2.7925268031909298</v>
      </c>
      <c r="AV186" s="48">
        <f t="shared" si="150"/>
        <v>2.9670597283903599</v>
      </c>
      <c r="AW186" s="48">
        <f t="shared" si="150"/>
        <v>3.14159265358979</v>
      </c>
      <c r="AX186" s="48">
        <f t="shared" si="150"/>
        <v>3.3161255787892299</v>
      </c>
      <c r="AY186" s="48">
        <f t="shared" si="150"/>
        <v>3.49065850398866</v>
      </c>
      <c r="AZ186" s="48">
        <f t="shared" si="150"/>
        <v>3.66519142918809</v>
      </c>
      <c r="BA186" s="48">
        <f t="shared" si="150"/>
        <v>3.8397243543875299</v>
      </c>
      <c r="BB186" s="48">
        <f t="shared" si="150"/>
        <v>4.0142572795869604</v>
      </c>
      <c r="BC186" s="48">
        <f t="shared" si="150"/>
        <v>4.1887902047863896</v>
      </c>
      <c r="BD186" s="48">
        <f t="shared" si="150"/>
        <v>4.3633231299858197</v>
      </c>
      <c r="BE186" s="48">
        <f t="shared" si="150"/>
        <v>4.5378560551852596</v>
      </c>
      <c r="BF186" s="48">
        <f t="shared" si="150"/>
        <v>4.7123889803846897</v>
      </c>
      <c r="BG186" s="48">
        <f t="shared" si="150"/>
        <v>4.8869219055841198</v>
      </c>
      <c r="BH186" s="48">
        <f t="shared" si="150"/>
        <v>5.0614548307835596</v>
      </c>
      <c r="BI186" s="48">
        <f t="shared" si="150"/>
        <v>5.2359877559829897</v>
      </c>
      <c r="BJ186" s="48">
        <f t="shared" si="150"/>
        <v>5.4105206811824198</v>
      </c>
      <c r="BK186" s="48">
        <f t="shared" si="150"/>
        <v>5.5850536063818499</v>
      </c>
      <c r="BL186" s="48">
        <f t="shared" si="150"/>
        <v>5.7595865315812897</v>
      </c>
      <c r="BM186" s="48">
        <f t="shared" si="150"/>
        <v>5.9341194567807198</v>
      </c>
      <c r="BN186" s="48">
        <f t="shared" si="150"/>
        <v>6.1086523819801499</v>
      </c>
    </row>
    <row r="187" spans="30:66" x14ac:dyDescent="0.25">
      <c r="AD187" s="23"/>
      <c r="AE187" s="48">
        <f t="shared" ref="AE187:BN187" ca="1" si="151">ROUND(((AE182*1852)/6399598.4),15)</f>
        <v>2.2164160790000001E-6</v>
      </c>
      <c r="AF187" s="48">
        <f t="shared" ca="1" si="151"/>
        <v>2.2164160790000001E-6</v>
      </c>
      <c r="AG187" s="48">
        <f t="shared" ca="1" si="151"/>
        <v>2.2164160790000001E-6</v>
      </c>
      <c r="AH187" s="48">
        <f t="shared" ca="1" si="151"/>
        <v>2.2164160790000001E-6</v>
      </c>
      <c r="AI187" s="48">
        <f t="shared" ca="1" si="151"/>
        <v>2.2164160790000001E-6</v>
      </c>
      <c r="AJ187" s="48">
        <f t="shared" ca="1" si="151"/>
        <v>2.2164160790000001E-6</v>
      </c>
      <c r="AK187" s="48">
        <f t="shared" ca="1" si="151"/>
        <v>2.2164160790000001E-6</v>
      </c>
      <c r="AL187" s="48">
        <f t="shared" ca="1" si="151"/>
        <v>2.2164160790000001E-6</v>
      </c>
      <c r="AM187" s="48">
        <f t="shared" ca="1" si="151"/>
        <v>2.2164160790000001E-6</v>
      </c>
      <c r="AN187" s="48">
        <f t="shared" ca="1" si="151"/>
        <v>2.2164160790000001E-6</v>
      </c>
      <c r="AO187" s="48">
        <f t="shared" ca="1" si="151"/>
        <v>2.2164160790000001E-6</v>
      </c>
      <c r="AP187" s="48">
        <f t="shared" ca="1" si="151"/>
        <v>2.2164160790000001E-6</v>
      </c>
      <c r="AQ187" s="48">
        <f t="shared" ca="1" si="151"/>
        <v>2.2164160790000001E-6</v>
      </c>
      <c r="AR187" s="48">
        <f t="shared" ca="1" si="151"/>
        <v>2.2164160790000001E-6</v>
      </c>
      <c r="AS187" s="48">
        <f t="shared" ca="1" si="151"/>
        <v>2.2164160790000001E-6</v>
      </c>
      <c r="AT187" s="48">
        <f t="shared" ca="1" si="151"/>
        <v>2.2164160790000001E-6</v>
      </c>
      <c r="AU187" s="48">
        <f t="shared" ca="1" si="151"/>
        <v>2.2164160790000001E-6</v>
      </c>
      <c r="AV187" s="48">
        <f t="shared" ca="1" si="151"/>
        <v>2.2164160790000001E-6</v>
      </c>
      <c r="AW187" s="48">
        <f t="shared" ca="1" si="151"/>
        <v>2.2164160790000001E-6</v>
      </c>
      <c r="AX187" s="48">
        <f t="shared" ca="1" si="151"/>
        <v>2.2164160790000001E-6</v>
      </c>
      <c r="AY187" s="48">
        <f t="shared" ca="1" si="151"/>
        <v>2.2164160790000001E-6</v>
      </c>
      <c r="AZ187" s="48">
        <f t="shared" ca="1" si="151"/>
        <v>2.2164160790000001E-6</v>
      </c>
      <c r="BA187" s="48">
        <f t="shared" ca="1" si="151"/>
        <v>2.2164160790000001E-6</v>
      </c>
      <c r="BB187" s="48">
        <f t="shared" ca="1" si="151"/>
        <v>2.2164160790000001E-6</v>
      </c>
      <c r="BC187" s="48">
        <f t="shared" ca="1" si="151"/>
        <v>2.2164160790000001E-6</v>
      </c>
      <c r="BD187" s="48">
        <f t="shared" ca="1" si="151"/>
        <v>2.2164160790000001E-6</v>
      </c>
      <c r="BE187" s="48">
        <f t="shared" ca="1" si="151"/>
        <v>2.2164160790000001E-6</v>
      </c>
      <c r="BF187" s="48">
        <f t="shared" ca="1" si="151"/>
        <v>2.2164160790000001E-6</v>
      </c>
      <c r="BG187" s="48">
        <f t="shared" ca="1" si="151"/>
        <v>2.2164160790000001E-6</v>
      </c>
      <c r="BH187" s="48">
        <f t="shared" ca="1" si="151"/>
        <v>2.2164160790000001E-6</v>
      </c>
      <c r="BI187" s="48">
        <f t="shared" ca="1" si="151"/>
        <v>2.2164160790000001E-6</v>
      </c>
      <c r="BJ187" s="48">
        <f t="shared" ca="1" si="151"/>
        <v>2.2164160790000001E-6</v>
      </c>
      <c r="BK187" s="48">
        <f t="shared" ca="1" si="151"/>
        <v>2.2164160790000001E-6</v>
      </c>
      <c r="BL187" s="48">
        <f t="shared" ca="1" si="151"/>
        <v>2.2164160790000001E-6</v>
      </c>
      <c r="BM187" s="48">
        <f t="shared" ca="1" si="151"/>
        <v>2.2164160790000001E-6</v>
      </c>
      <c r="BN187" s="48">
        <f t="shared" ca="1" si="151"/>
        <v>2.2164160790000001E-6</v>
      </c>
    </row>
    <row r="188" spans="30:66" x14ac:dyDescent="0.25">
      <c r="AE188" s="48">
        <f t="shared" ref="AE188:BN188" ca="1" si="152">ROUND(((((COS(((((AE182*1852)/6399598.4)*(COS(AE186)))/2)+AE183))*(COS(((((AE182*1852)/6399598.4)*(COS(AE186)))/2)+AE183)))/148.38)+1),15)</f>
        <v>1.00543891223059</v>
      </c>
      <c r="AF188" s="48">
        <f t="shared" ca="1" si="152"/>
        <v>1.0054389123201499</v>
      </c>
      <c r="AG188" s="48">
        <f t="shared" ca="1" si="152"/>
        <v>1.0054389125860901</v>
      </c>
      <c r="AH188" s="48">
        <f t="shared" ca="1" si="152"/>
        <v>1.00543891302035</v>
      </c>
      <c r="AI188" s="48">
        <f t="shared" ca="1" si="152"/>
        <v>1.0054389136097099</v>
      </c>
      <c r="AJ188" s="48">
        <f t="shared" ca="1" si="152"/>
        <v>1.0054389143362901</v>
      </c>
      <c r="AK188" s="48">
        <f t="shared" ca="1" si="152"/>
        <v>1.0054389151779899</v>
      </c>
      <c r="AL188" s="48">
        <f t="shared" ca="1" si="152"/>
        <v>1.0054389161092501</v>
      </c>
      <c r="AM188" s="48">
        <f t="shared" ca="1" si="152"/>
        <v>1.0054389171017699</v>
      </c>
      <c r="AN188" s="48">
        <f t="shared" ca="1" si="152"/>
        <v>1.00543891812539</v>
      </c>
      <c r="AO188" s="48">
        <f t="shared" ca="1" si="152"/>
        <v>1.0054389191490101</v>
      </c>
      <c r="AP188" s="48">
        <f t="shared" ca="1" si="152"/>
        <v>1.0054389201415299</v>
      </c>
      <c r="AQ188" s="48">
        <f t="shared" ca="1" si="152"/>
        <v>1.0054389210727801</v>
      </c>
      <c r="AR188" s="48">
        <f t="shared" ca="1" si="152"/>
        <v>1.0054389219144899</v>
      </c>
      <c r="AS188" s="48">
        <f t="shared" ca="1" si="152"/>
        <v>1.0054389226410601</v>
      </c>
      <c r="AT188" s="48">
        <f t="shared" ca="1" si="152"/>
        <v>1.0054389232304299</v>
      </c>
      <c r="AU188" s="48">
        <f t="shared" ca="1" si="152"/>
        <v>1.0054389236646799</v>
      </c>
      <c r="AV188" s="48">
        <f t="shared" ca="1" si="152"/>
        <v>1.0054389239306201</v>
      </c>
      <c r="AW188" s="48">
        <f t="shared" ca="1" si="152"/>
        <v>1.00543892402018</v>
      </c>
      <c r="AX188" s="48">
        <f t="shared" ca="1" si="152"/>
        <v>1.0054389239306201</v>
      </c>
      <c r="AY188" s="48">
        <f t="shared" ca="1" si="152"/>
        <v>1.0054389236646799</v>
      </c>
      <c r="AZ188" s="48">
        <f t="shared" ca="1" si="152"/>
        <v>1.0054389232304299</v>
      </c>
      <c r="BA188" s="48">
        <f t="shared" ca="1" si="152"/>
        <v>1.0054389226410601</v>
      </c>
      <c r="BB188" s="48">
        <f t="shared" ca="1" si="152"/>
        <v>1.0054389219144899</v>
      </c>
      <c r="BC188" s="48">
        <f t="shared" ca="1" si="152"/>
        <v>1.0054389210727801</v>
      </c>
      <c r="BD188" s="48">
        <f t="shared" ca="1" si="152"/>
        <v>1.0054389201415299</v>
      </c>
      <c r="BE188" s="48">
        <f t="shared" ca="1" si="152"/>
        <v>1.0054389191490101</v>
      </c>
      <c r="BF188" s="48">
        <f t="shared" ca="1" si="152"/>
        <v>1.00543891812539</v>
      </c>
      <c r="BG188" s="48">
        <f t="shared" ca="1" si="152"/>
        <v>1.0054389171017699</v>
      </c>
      <c r="BH188" s="48">
        <f t="shared" ca="1" si="152"/>
        <v>1.0054389161092501</v>
      </c>
      <c r="BI188" s="48">
        <f t="shared" ca="1" si="152"/>
        <v>1.0054389151779899</v>
      </c>
      <c r="BJ188" s="48">
        <f t="shared" ca="1" si="152"/>
        <v>1.0054389143362901</v>
      </c>
      <c r="BK188" s="48">
        <f t="shared" ca="1" si="152"/>
        <v>1.0054389136097099</v>
      </c>
      <c r="BL188" s="48">
        <f t="shared" ca="1" si="152"/>
        <v>1.00543891302035</v>
      </c>
      <c r="BM188" s="48">
        <f t="shared" ca="1" si="152"/>
        <v>1.0054389125860901</v>
      </c>
      <c r="BN188" s="48">
        <f t="shared" ca="1" si="152"/>
        <v>1.0054389123201499</v>
      </c>
    </row>
    <row r="189" spans="30:66" x14ac:dyDescent="0.25">
      <c r="AE189" s="48">
        <f t="shared" ref="AE189:BN189" ca="1" si="153">((AE188*AE188)*(AE187*AE187))*(SIN(AE186))*(COS(AE186))</f>
        <v>0</v>
      </c>
      <c r="AF189" s="48">
        <f t="shared" ca="1" si="153"/>
        <v>8.4925018778883916E-13</v>
      </c>
      <c r="AG189" s="48">
        <f t="shared" ca="1" si="153"/>
        <v>1.5960682701767631E-12</v>
      </c>
      <c r="AH189" s="48">
        <f t="shared" ca="1" si="153"/>
        <v>2.1503769651307153E-12</v>
      </c>
      <c r="AI189" s="48">
        <f t="shared" ca="1" si="153"/>
        <v>2.4453184633939301E-12</v>
      </c>
      <c r="AJ189" s="48">
        <f t="shared" ca="1" si="153"/>
        <v>2.4453184669281473E-12</v>
      </c>
      <c r="AK189" s="48">
        <f t="shared" ca="1" si="153"/>
        <v>2.1503769743599898E-12</v>
      </c>
      <c r="AL189" s="48">
        <f t="shared" ca="1" si="153"/>
        <v>1.5960682813623361E-12</v>
      </c>
      <c r="AM189" s="48">
        <f t="shared" ca="1" si="153"/>
        <v>8.4925019586650553E-13</v>
      </c>
      <c r="AN189" s="48">
        <f t="shared" ca="1" si="153"/>
        <v>-1.7338861311031952E-26</v>
      </c>
      <c r="AO189" s="48">
        <f t="shared" ca="1" si="153"/>
        <v>-8.4925019932491879E-13</v>
      </c>
      <c r="AP189" s="48">
        <f t="shared" ca="1" si="153"/>
        <v>-1.5960682941642831E-12</v>
      </c>
      <c r="AQ189" s="48">
        <f t="shared" ca="1" si="153"/>
        <v>-2.1503769995749074E-12</v>
      </c>
      <c r="AR189" s="48">
        <f t="shared" ca="1" si="153"/>
        <v>-2.445318503789885E-12</v>
      </c>
      <c r="AS189" s="48">
        <f t="shared" ca="1" si="153"/>
        <v>-2.4453185073240541E-12</v>
      </c>
      <c r="AT189" s="48">
        <f t="shared" ca="1" si="153"/>
        <v>-2.1503770088042304E-12</v>
      </c>
      <c r="AU189" s="48">
        <f t="shared" ca="1" si="153"/>
        <v>-1.5960683053498214E-12</v>
      </c>
      <c r="AV189" s="48">
        <f t="shared" ca="1" si="153"/>
        <v>-8.4925020740255124E-13</v>
      </c>
      <c r="AW189" s="48">
        <f t="shared" ca="1" si="153"/>
        <v>-1.6046105979271538E-26</v>
      </c>
      <c r="AX189" s="48">
        <f t="shared" ca="1" si="153"/>
        <v>8.4925020740256669E-13</v>
      </c>
      <c r="AY189" s="48">
        <f t="shared" ca="1" si="153"/>
        <v>1.5960683053498341E-12</v>
      </c>
      <c r="AZ189" s="48">
        <f t="shared" ca="1" si="153"/>
        <v>2.1503770088042146E-12</v>
      </c>
      <c r="BA189" s="48">
        <f t="shared" ca="1" si="153"/>
        <v>2.4453185073240569E-12</v>
      </c>
      <c r="BB189" s="48">
        <f t="shared" ca="1" si="153"/>
        <v>2.4453185037898817E-12</v>
      </c>
      <c r="BC189" s="48">
        <f t="shared" ca="1" si="153"/>
        <v>2.1503769995748993E-12</v>
      </c>
      <c r="BD189" s="48">
        <f t="shared" ca="1" si="153"/>
        <v>1.5960682941643085E-12</v>
      </c>
      <c r="BE189" s="48">
        <f t="shared" ca="1" si="153"/>
        <v>8.4925019932490425E-13</v>
      </c>
      <c r="BF189" s="48">
        <f t="shared" ca="1" si="153"/>
        <v>9.1262832413747658E-28</v>
      </c>
      <c r="BG189" s="48">
        <f t="shared" ca="1" si="153"/>
        <v>-8.4925019586647433E-13</v>
      </c>
      <c r="BH189" s="48">
        <f t="shared" ca="1" si="153"/>
        <v>-1.5960682813623482E-12</v>
      </c>
      <c r="BI189" s="48">
        <f t="shared" ca="1" si="153"/>
        <v>-2.1503769743599975E-12</v>
      </c>
      <c r="BJ189" s="48">
        <f t="shared" ca="1" si="153"/>
        <v>-2.4453184669281461E-12</v>
      </c>
      <c r="BK189" s="48">
        <f t="shared" ca="1" si="153"/>
        <v>-2.4453184633939341E-12</v>
      </c>
      <c r="BL189" s="48">
        <f t="shared" ca="1" si="153"/>
        <v>-2.1503769651307096E-12</v>
      </c>
      <c r="BM189" s="48">
        <f t="shared" ca="1" si="153"/>
        <v>-1.5960682701767655E-12</v>
      </c>
      <c r="BN189" s="48">
        <f t="shared" ca="1" si="153"/>
        <v>-8.4925018778885572E-13</v>
      </c>
    </row>
    <row r="190" spans="30:66" x14ac:dyDescent="0.25">
      <c r="AE190" s="48">
        <f t="shared" ref="AE190:BN190" ca="1" si="154">((((AE182*1852)/6399598.4)*(COS(AE186)))/2)+AE183</f>
        <v>0.45480627695611647</v>
      </c>
      <c r="AF190" s="48">
        <f t="shared" ca="1" si="154"/>
        <v>0.45480626011994618</v>
      </c>
      <c r="AG190" s="48">
        <f t="shared" ca="1" si="154"/>
        <v>0.45480621012299399</v>
      </c>
      <c r="AH190" s="48">
        <f t="shared" ca="1" si="154"/>
        <v>0.45480612848439184</v>
      </c>
      <c r="AI190" s="48">
        <f t="shared" ca="1" si="154"/>
        <v>0.45480601768468742</v>
      </c>
      <c r="AJ190" s="48">
        <f t="shared" ca="1" si="154"/>
        <v>0.45480588109047371</v>
      </c>
      <c r="AK190" s="48">
        <f t="shared" ca="1" si="154"/>
        <v>0.45480572285209675</v>
      </c>
      <c r="AL190" s="48">
        <f t="shared" ca="1" si="154"/>
        <v>0.4548055477775495</v>
      </c>
      <c r="AM190" s="48">
        <f t="shared" ca="1" si="154"/>
        <v>0.45480536118638354</v>
      </c>
      <c r="AN190" s="48">
        <f t="shared" ca="1" si="154"/>
        <v>0.45480516874807703</v>
      </c>
      <c r="AO190" s="48">
        <f t="shared" ca="1" si="154"/>
        <v>0.45480497630977051</v>
      </c>
      <c r="AP190" s="48">
        <f t="shared" ca="1" si="154"/>
        <v>0.45480478971860455</v>
      </c>
      <c r="AQ190" s="48">
        <f t="shared" ca="1" si="154"/>
        <v>0.4548046146440573</v>
      </c>
      <c r="AR190" s="48">
        <f t="shared" ca="1" si="154"/>
        <v>0.45480445640568035</v>
      </c>
      <c r="AS190" s="48">
        <f t="shared" ca="1" si="154"/>
        <v>0.45480431981146663</v>
      </c>
      <c r="AT190" s="48">
        <f t="shared" ca="1" si="154"/>
        <v>0.45480420901176222</v>
      </c>
      <c r="AU190" s="48">
        <f t="shared" ca="1" si="154"/>
        <v>0.45480412737316006</v>
      </c>
      <c r="AV190" s="48">
        <f t="shared" ca="1" si="154"/>
        <v>0.45480407737620787</v>
      </c>
      <c r="AW190" s="48">
        <f t="shared" ca="1" si="154"/>
        <v>0.45480406054003758</v>
      </c>
      <c r="AX190" s="48">
        <f t="shared" ca="1" si="154"/>
        <v>0.45480407737620787</v>
      </c>
      <c r="AY190" s="48">
        <f t="shared" ca="1" si="154"/>
        <v>0.45480412737316006</v>
      </c>
      <c r="AZ190" s="48">
        <f t="shared" ca="1" si="154"/>
        <v>0.45480420901176222</v>
      </c>
      <c r="BA190" s="48">
        <f t="shared" ca="1" si="154"/>
        <v>0.45480431981146663</v>
      </c>
      <c r="BB190" s="48">
        <f t="shared" ca="1" si="154"/>
        <v>0.45480445640568035</v>
      </c>
      <c r="BC190" s="48">
        <f t="shared" ca="1" si="154"/>
        <v>0.4548046146440573</v>
      </c>
      <c r="BD190" s="48">
        <f t="shared" ca="1" si="154"/>
        <v>0.45480478971860455</v>
      </c>
      <c r="BE190" s="48">
        <f t="shared" ca="1" si="154"/>
        <v>0.45480497630977051</v>
      </c>
      <c r="BF190" s="48">
        <f t="shared" ca="1" si="154"/>
        <v>0.45480516874807703</v>
      </c>
      <c r="BG190" s="48">
        <f t="shared" ca="1" si="154"/>
        <v>0.45480536118638354</v>
      </c>
      <c r="BH190" s="48">
        <f t="shared" ca="1" si="154"/>
        <v>0.4548055477775495</v>
      </c>
      <c r="BI190" s="48">
        <f t="shared" ca="1" si="154"/>
        <v>0.45480572285209675</v>
      </c>
      <c r="BJ190" s="48">
        <f t="shared" ca="1" si="154"/>
        <v>0.45480588109047371</v>
      </c>
      <c r="BK190" s="48">
        <f t="shared" ca="1" si="154"/>
        <v>0.45480601768468742</v>
      </c>
      <c r="BL190" s="48">
        <f t="shared" ca="1" si="154"/>
        <v>0.45480612848439184</v>
      </c>
      <c r="BM190" s="48">
        <f t="shared" ca="1" si="154"/>
        <v>0.45480621012299399</v>
      </c>
      <c r="BN190" s="48">
        <f t="shared" ca="1" si="154"/>
        <v>0.45480626011994618</v>
      </c>
    </row>
    <row r="191" spans="30:66" x14ac:dyDescent="0.25">
      <c r="AD191" s="23"/>
      <c r="AE191" s="48">
        <f t="shared" ref="AE191:BN191" ca="1" si="155">((TAN((AE190-AE183)+AE190))*AE189)*(TAN(AE186))</f>
        <v>0</v>
      </c>
      <c r="AF191" s="48">
        <f t="shared" ca="1" si="155"/>
        <v>7.3225361556871279E-14</v>
      </c>
      <c r="AG191" s="48">
        <f t="shared" ca="1" si="155"/>
        <v>2.8406931510408051E-13</v>
      </c>
      <c r="AH191" s="48">
        <f t="shared" ca="1" si="155"/>
        <v>6.071007707716127E-13</v>
      </c>
      <c r="AI191" s="48">
        <f t="shared" ca="1" si="155"/>
        <v>1.0033570942925132E-12</v>
      </c>
      <c r="AJ191" s="48">
        <f t="shared" ca="1" si="155"/>
        <v>1.4250436435742175E-12</v>
      </c>
      <c r="AK191" s="48">
        <f t="shared" ca="1" si="155"/>
        <v>1.8212985760053378E-12</v>
      </c>
      <c r="AL191" s="48">
        <f t="shared" ca="1" si="155"/>
        <v>2.1443275876328665E-12</v>
      </c>
      <c r="AM191" s="48">
        <f t="shared" ca="1" si="155"/>
        <v>2.3551686309160159E-12</v>
      </c>
      <c r="AN191" s="48">
        <f t="shared" ca="1" si="155"/>
        <v>2.4283912961552216E-12</v>
      </c>
      <c r="AO191" s="48">
        <f t="shared" ca="1" si="155"/>
        <v>2.3551640466178464E-12</v>
      </c>
      <c r="AP191" s="48">
        <f t="shared" ca="1" si="155"/>
        <v>2.144319366663578E-12</v>
      </c>
      <c r="AQ191" s="48">
        <f t="shared" ca="1" si="155"/>
        <v>1.8212883682329365E-12</v>
      </c>
      <c r="AR191" s="48">
        <f t="shared" ca="1" si="155"/>
        <v>1.4250333758276808E-12</v>
      </c>
      <c r="AS191" s="48">
        <f t="shared" ca="1" si="155"/>
        <v>1.0033484786301939E-12</v>
      </c>
      <c r="AT191" s="48">
        <f t="shared" ca="1" si="155"/>
        <v>6.0709487731149087E-13</v>
      </c>
      <c r="AU191" s="48">
        <f t="shared" ca="1" si="155"/>
        <v>2.8406632291595224E-13</v>
      </c>
      <c r="AV191" s="48">
        <f t="shared" ca="1" si="155"/>
        <v>7.3224553221415216E-14</v>
      </c>
      <c r="AW191" s="48">
        <f t="shared" ca="1" si="155"/>
        <v>2.5352897500428108E-41</v>
      </c>
      <c r="AX191" s="48">
        <f t="shared" ca="1" si="155"/>
        <v>7.3224553221417968E-14</v>
      </c>
      <c r="AY191" s="48">
        <f t="shared" ca="1" si="155"/>
        <v>2.8406632291595744E-13</v>
      </c>
      <c r="AZ191" s="48">
        <f t="shared" ca="1" si="155"/>
        <v>6.0709487731147734E-13</v>
      </c>
      <c r="BA191" s="48">
        <f t="shared" ca="1" si="155"/>
        <v>1.0033484786302018E-12</v>
      </c>
      <c r="BB191" s="48">
        <f t="shared" ca="1" si="155"/>
        <v>1.4250333758276899E-12</v>
      </c>
      <c r="BC191" s="48">
        <f t="shared" ca="1" si="155"/>
        <v>1.8212883682329433E-12</v>
      </c>
      <c r="BD191" s="48">
        <f t="shared" ca="1" si="155"/>
        <v>2.1443193666635675E-12</v>
      </c>
      <c r="BE191" s="48">
        <f t="shared" ca="1" si="155"/>
        <v>2.3551640466178489E-12</v>
      </c>
      <c r="BF191" s="48">
        <f t="shared" ca="1" si="155"/>
        <v>2.4283912961552212E-12</v>
      </c>
      <c r="BG191" s="48">
        <f t="shared" ca="1" si="155"/>
        <v>2.3551686309160212E-12</v>
      </c>
      <c r="BH191" s="48">
        <f t="shared" ca="1" si="155"/>
        <v>2.1443275876328617E-12</v>
      </c>
      <c r="BI191" s="48">
        <f t="shared" ca="1" si="155"/>
        <v>1.8212985760053309E-12</v>
      </c>
      <c r="BJ191" s="48">
        <f t="shared" ca="1" si="155"/>
        <v>1.4250436435742215E-12</v>
      </c>
      <c r="BK191" s="48">
        <f t="shared" ca="1" si="155"/>
        <v>1.0033570942925239E-12</v>
      </c>
      <c r="BL191" s="48">
        <f t="shared" ca="1" si="155"/>
        <v>6.0710077077160786E-13</v>
      </c>
      <c r="BM191" s="48">
        <f t="shared" ca="1" si="155"/>
        <v>2.8406931510408152E-13</v>
      </c>
      <c r="BN191" s="48">
        <f t="shared" ca="1" si="155"/>
        <v>7.3225361556874208E-14</v>
      </c>
    </row>
    <row r="192" spans="30:66" x14ac:dyDescent="0.25">
      <c r="AD192" s="23"/>
      <c r="AE192" s="48">
        <f t="shared" ref="AE192:BN192" ca="1" si="156">ROUND((((((COS(AE186-(AE189/3)))*AE187)*(SQRT(AE188))*((AE188)))-(AE191/2))+AE183),15)</f>
        <v>0.45480740327106001</v>
      </c>
      <c r="AF192" s="48">
        <f t="shared" ca="1" si="156"/>
        <v>0.454807369323598</v>
      </c>
      <c r="AG192" s="48">
        <f t="shared" ca="1" si="156"/>
        <v>0.45480726851269399</v>
      </c>
      <c r="AH192" s="48">
        <f t="shared" ca="1" si="156"/>
        <v>0.45480710390144402</v>
      </c>
      <c r="AI192" s="48">
        <f t="shared" ca="1" si="156"/>
        <v>0.45480688049149298</v>
      </c>
      <c r="AJ192" s="48">
        <f t="shared" ca="1" si="156"/>
        <v>0.45480660507105602</v>
      </c>
      <c r="AK192" s="48">
        <f t="shared" ca="1" si="156"/>
        <v>0.45480628600866302</v>
      </c>
      <c r="AL192" s="48">
        <f t="shared" ca="1" si="156"/>
        <v>0.45480593299888</v>
      </c>
      <c r="AM192" s="48">
        <f t="shared" ca="1" si="156"/>
        <v>0.45480555676774598</v>
      </c>
      <c r="AN192" s="48">
        <f t="shared" ca="1" si="156"/>
        <v>0.454805168746863</v>
      </c>
      <c r="AO192" s="48">
        <f t="shared" ca="1" si="156"/>
        <v>0.45480478072605202</v>
      </c>
      <c r="AP192" s="48">
        <f t="shared" ca="1" si="156"/>
        <v>0.45480440449512499</v>
      </c>
      <c r="AQ192" s="48">
        <f t="shared" ca="1" si="156"/>
        <v>0.45480405148566</v>
      </c>
      <c r="AR192" s="48">
        <f t="shared" ca="1" si="156"/>
        <v>0.45480373242365701</v>
      </c>
      <c r="AS192" s="48">
        <f t="shared" ca="1" si="156"/>
        <v>0.454803457003635</v>
      </c>
      <c r="AT192" s="48">
        <f t="shared" ca="1" si="156"/>
        <v>0.45480323359407299</v>
      </c>
      <c r="AU192" s="48">
        <f t="shared" ca="1" si="156"/>
        <v>0.45480306898314099</v>
      </c>
      <c r="AV192" s="48">
        <f t="shared" ca="1" si="156"/>
        <v>0.45480296817244398</v>
      </c>
      <c r="AW192" s="48">
        <f t="shared" ca="1" si="156"/>
        <v>0.45480293422505502</v>
      </c>
      <c r="AX192" s="48">
        <f t="shared" ca="1" si="156"/>
        <v>0.45480296817244398</v>
      </c>
      <c r="AY192" s="48">
        <f t="shared" ca="1" si="156"/>
        <v>0.45480306898314099</v>
      </c>
      <c r="AZ192" s="48">
        <f t="shared" ca="1" si="156"/>
        <v>0.45480323359407299</v>
      </c>
      <c r="BA192" s="48">
        <f t="shared" ca="1" si="156"/>
        <v>0.454803457003635</v>
      </c>
      <c r="BB192" s="48">
        <f t="shared" ca="1" si="156"/>
        <v>0.45480373242365701</v>
      </c>
      <c r="BC192" s="48">
        <f t="shared" ca="1" si="156"/>
        <v>0.45480405148566</v>
      </c>
      <c r="BD192" s="48">
        <f t="shared" ca="1" si="156"/>
        <v>0.45480440449512499</v>
      </c>
      <c r="BE192" s="48">
        <f t="shared" ca="1" si="156"/>
        <v>0.45480478072605202</v>
      </c>
      <c r="BF192" s="48">
        <f t="shared" ca="1" si="156"/>
        <v>0.454805168746863</v>
      </c>
      <c r="BG192" s="48">
        <f t="shared" ca="1" si="156"/>
        <v>0.45480555676774598</v>
      </c>
      <c r="BH192" s="48">
        <f t="shared" ca="1" si="156"/>
        <v>0.45480593299888</v>
      </c>
      <c r="BI192" s="48">
        <f t="shared" ca="1" si="156"/>
        <v>0.45480628600866302</v>
      </c>
      <c r="BJ192" s="48">
        <f t="shared" ca="1" si="156"/>
        <v>0.45480660507105602</v>
      </c>
      <c r="BK192" s="48">
        <f t="shared" ca="1" si="156"/>
        <v>0.45480688049149298</v>
      </c>
      <c r="BL192" s="48">
        <f t="shared" ca="1" si="156"/>
        <v>0.45480710390144402</v>
      </c>
      <c r="BM192" s="48">
        <f t="shared" ca="1" si="156"/>
        <v>0.45480726851269399</v>
      </c>
      <c r="BN192" s="48">
        <f t="shared" ca="1" si="156"/>
        <v>0.454807369323598</v>
      </c>
    </row>
    <row r="193" spans="30:66" x14ac:dyDescent="0.25">
      <c r="AD193" s="23"/>
      <c r="AE193" s="48">
        <f t="shared" ref="AE193:BN193" ca="1" si="157">ROUND(((AE184-((((SQRT((((COS(AE192))*(COS(AE192)))/148.38)+1))*AE187)*(SIN(AE186-(AE189/6))))/(COS((AE191/6)+AE192))))),15)</f>
        <v>1.39860791215351</v>
      </c>
      <c r="AF193" s="48">
        <f t="shared" ca="1" si="157"/>
        <v>1.3986074825618</v>
      </c>
      <c r="AG193" s="48">
        <f t="shared" ca="1" si="157"/>
        <v>1.3986070660230601</v>
      </c>
      <c r="AH193" s="48">
        <f t="shared" ca="1" si="157"/>
        <v>1.3986066751936499</v>
      </c>
      <c r="AI193" s="48">
        <f t="shared" ca="1" si="157"/>
        <v>1.3986063219487399</v>
      </c>
      <c r="AJ193" s="48">
        <f t="shared" ca="1" si="157"/>
        <v>1.39860601702151</v>
      </c>
      <c r="AK193" s="48">
        <f t="shared" ca="1" si="157"/>
        <v>1.39860576967704</v>
      </c>
      <c r="AL193" s="48">
        <f t="shared" ca="1" si="157"/>
        <v>1.3986055874307299</v>
      </c>
      <c r="AM193" s="48">
        <f t="shared" ca="1" si="157"/>
        <v>1.3986054758200199</v>
      </c>
      <c r="AN193" s="48">
        <f t="shared" ca="1" si="157"/>
        <v>1.3986054382361199</v>
      </c>
      <c r="AO193" s="48">
        <f t="shared" ca="1" si="157"/>
        <v>1.3986054758209401</v>
      </c>
      <c r="AP193" s="48">
        <f t="shared" ca="1" si="157"/>
        <v>1.3986055874324601</v>
      </c>
      <c r="AQ193" s="48">
        <f t="shared" ca="1" si="157"/>
        <v>1.3986057696793599</v>
      </c>
      <c r="AR193" s="48">
        <f t="shared" ca="1" si="157"/>
        <v>1.3986060170241601</v>
      </c>
      <c r="AS193" s="48">
        <f t="shared" ca="1" si="157"/>
        <v>1.39860632195139</v>
      </c>
      <c r="AT193" s="48">
        <f t="shared" ca="1" si="157"/>
        <v>1.39860667519598</v>
      </c>
      <c r="AU193" s="48">
        <f t="shared" ca="1" si="157"/>
        <v>1.39860706602479</v>
      </c>
      <c r="AV193" s="48">
        <f t="shared" ca="1" si="157"/>
        <v>1.3986074825627199</v>
      </c>
      <c r="AW193" s="48">
        <f t="shared" ca="1" si="157"/>
        <v>1.39860791215351</v>
      </c>
      <c r="AX193" s="48">
        <f t="shared" ca="1" si="157"/>
        <v>1.3986083417443</v>
      </c>
      <c r="AY193" s="48">
        <f t="shared" ca="1" si="157"/>
        <v>1.39860875828223</v>
      </c>
      <c r="AZ193" s="48">
        <f t="shared" ca="1" si="157"/>
        <v>1.39860914911104</v>
      </c>
      <c r="BA193" s="48">
        <f t="shared" ca="1" si="157"/>
        <v>1.39860950235563</v>
      </c>
      <c r="BB193" s="48">
        <f t="shared" ca="1" si="157"/>
        <v>1.3986098072828601</v>
      </c>
      <c r="BC193" s="48">
        <f t="shared" ca="1" si="157"/>
        <v>1.3986100546276601</v>
      </c>
      <c r="BD193" s="48">
        <f t="shared" ca="1" si="157"/>
        <v>1.3986102368745601</v>
      </c>
      <c r="BE193" s="48">
        <f t="shared" ca="1" si="157"/>
        <v>1.3986103484860799</v>
      </c>
      <c r="BF193" s="48">
        <f t="shared" ca="1" si="157"/>
        <v>1.3986103860709</v>
      </c>
      <c r="BG193" s="48">
        <f t="shared" ca="1" si="157"/>
        <v>1.3986103484870001</v>
      </c>
      <c r="BH193" s="48">
        <f t="shared" ca="1" si="157"/>
        <v>1.39861023687629</v>
      </c>
      <c r="BI193" s="48">
        <f t="shared" ca="1" si="157"/>
        <v>1.39861005462998</v>
      </c>
      <c r="BJ193" s="48">
        <f t="shared" ca="1" si="157"/>
        <v>1.39860980728551</v>
      </c>
      <c r="BK193" s="48">
        <f t="shared" ca="1" si="157"/>
        <v>1.3986095023582801</v>
      </c>
      <c r="BL193" s="48">
        <f t="shared" ca="1" si="157"/>
        <v>1.3986091491133701</v>
      </c>
      <c r="BM193" s="48">
        <f t="shared" ca="1" si="157"/>
        <v>1.3986087582839599</v>
      </c>
      <c r="BN193" s="48">
        <f t="shared" ca="1" si="157"/>
        <v>1.39860834174522</v>
      </c>
    </row>
    <row r="194" spans="30:66" x14ac:dyDescent="0.25">
      <c r="AD194" s="23"/>
      <c r="AE194" s="48">
        <f t="shared" ref="AE194:BN194" ca="1" si="158">ROUND((((((((((SQRT((((COS(AE192))*(COS(AE192)))/148.38)+1))*AE187)*(SIN(AE186-(AE189/6))))/(COS((AE191/6)+AE191)))*(SIN((AE191/3)+AE191)))-(AE189/2))-PI())+AE186)+(PI()+PI())),15)</f>
        <v>3.14159265358979</v>
      </c>
      <c r="AF194" s="48">
        <f t="shared" ca="1" si="158"/>
        <v>3.3161255787888</v>
      </c>
      <c r="AG194" s="48">
        <f t="shared" ca="1" si="158"/>
        <v>3.4906585039878602</v>
      </c>
      <c r="AH194" s="48">
        <f t="shared" ca="1" si="158"/>
        <v>3.6651914291870198</v>
      </c>
      <c r="AI194" s="48">
        <f t="shared" ca="1" si="158"/>
        <v>3.8397243543863002</v>
      </c>
      <c r="AJ194" s="48">
        <f t="shared" ca="1" si="158"/>
        <v>4.0142572795857401</v>
      </c>
      <c r="AK194" s="48">
        <f t="shared" ca="1" si="158"/>
        <v>4.1887902047853203</v>
      </c>
      <c r="AL194" s="48">
        <f t="shared" ca="1" si="158"/>
        <v>4.3633231299850204</v>
      </c>
      <c r="AM194" s="48">
        <f t="shared" ca="1" si="158"/>
        <v>4.5378560551848297</v>
      </c>
      <c r="AN194" s="48">
        <f t="shared" ca="1" si="158"/>
        <v>4.7123889803846897</v>
      </c>
      <c r="AO194" s="48">
        <f t="shared" ca="1" si="158"/>
        <v>4.8869219055845496</v>
      </c>
      <c r="AP194" s="48">
        <f t="shared" ca="1" si="158"/>
        <v>5.0614548307843501</v>
      </c>
      <c r="AQ194" s="48">
        <f t="shared" ca="1" si="158"/>
        <v>5.2359877559840697</v>
      </c>
      <c r="AR194" s="48">
        <f t="shared" ca="1" si="158"/>
        <v>5.4105206811836499</v>
      </c>
      <c r="AS194" s="48">
        <f t="shared" ca="1" si="158"/>
        <v>5.58505360638308</v>
      </c>
      <c r="AT194" s="48">
        <f t="shared" ca="1" si="158"/>
        <v>5.75958653158236</v>
      </c>
      <c r="AU194" s="48">
        <f t="shared" ca="1" si="158"/>
        <v>5.9341194567815201</v>
      </c>
      <c r="AV194" s="48">
        <f t="shared" ca="1" si="158"/>
        <v>6.1086523819805798</v>
      </c>
      <c r="AW194" s="48">
        <f t="shared" ca="1" si="158"/>
        <v>6.28318530717958</v>
      </c>
      <c r="AX194" s="48">
        <f t="shared" ca="1" si="158"/>
        <v>6.4577182323785998</v>
      </c>
      <c r="AY194" s="48">
        <f t="shared" ca="1" si="158"/>
        <v>6.6322511575776604</v>
      </c>
      <c r="AZ194" s="48">
        <f t="shared" ca="1" si="158"/>
        <v>6.8067840827768098</v>
      </c>
      <c r="BA194" s="48">
        <f t="shared" ca="1" si="158"/>
        <v>6.9813170079761004</v>
      </c>
      <c r="BB194" s="48">
        <f t="shared" ca="1" si="158"/>
        <v>7.1558499331755296</v>
      </c>
      <c r="BC194" s="48">
        <f t="shared" ca="1" si="158"/>
        <v>7.3303828583751098</v>
      </c>
      <c r="BD194" s="48">
        <f t="shared" ca="1" si="158"/>
        <v>7.5049157835748099</v>
      </c>
      <c r="BE194" s="48">
        <f t="shared" ca="1" si="158"/>
        <v>7.6794487087746299</v>
      </c>
      <c r="BF194" s="48">
        <f t="shared" ca="1" si="158"/>
        <v>7.8539816339744801</v>
      </c>
      <c r="BG194" s="48">
        <f t="shared" ca="1" si="158"/>
        <v>8.0285145591743401</v>
      </c>
      <c r="BH194" s="48">
        <f t="shared" ca="1" si="158"/>
        <v>8.2030474843741494</v>
      </c>
      <c r="BI194" s="48">
        <f t="shared" ca="1" si="158"/>
        <v>8.3775804095738593</v>
      </c>
      <c r="BJ194" s="48">
        <f t="shared" ca="1" si="158"/>
        <v>8.5521133347734395</v>
      </c>
      <c r="BK194" s="48">
        <f t="shared" ca="1" si="158"/>
        <v>8.7266462599728705</v>
      </c>
      <c r="BL194" s="48">
        <f t="shared" ca="1" si="158"/>
        <v>8.9011791851721593</v>
      </c>
      <c r="BM194" s="48">
        <f t="shared" ca="1" si="158"/>
        <v>9.0757121103713096</v>
      </c>
      <c r="BN194" s="48">
        <f t="shared" ca="1" si="158"/>
        <v>9.2502450355703694</v>
      </c>
    </row>
    <row r="195" spans="30:66" x14ac:dyDescent="0.25">
      <c r="AD195" s="23" t="s">
        <v>304</v>
      </c>
      <c r="AE195" s="48">
        <f t="shared" ref="AE195:AT196" ca="1" si="159">(AE192*(180/PI()))</f>
        <v>26.058544698736171</v>
      </c>
      <c r="AF195" s="48">
        <f t="shared" ca="1" si="159"/>
        <v>26.058542753689871</v>
      </c>
      <c r="AG195" s="48">
        <f t="shared" ca="1" si="159"/>
        <v>26.058536977650544</v>
      </c>
      <c r="AH195" s="48">
        <f t="shared" ca="1" si="159"/>
        <v>26.058527546120661</v>
      </c>
      <c r="AI195" s="48">
        <f t="shared" ca="1" si="159"/>
        <v>26.058514745673364</v>
      </c>
      <c r="AJ195" s="48">
        <f t="shared" ca="1" si="159"/>
        <v>26.058498965244734</v>
      </c>
      <c r="AK195" s="48">
        <f t="shared" ca="1" si="159"/>
        <v>26.058480684316216</v>
      </c>
      <c r="AL195" s="48">
        <f t="shared" ca="1" si="159"/>
        <v>26.058460458345522</v>
      </c>
      <c r="AM195" s="48">
        <f t="shared" ca="1" si="159"/>
        <v>26.058438901889421</v>
      </c>
      <c r="AN195" s="48">
        <f t="shared" ca="1" si="159"/>
        <v>26.058416669930462</v>
      </c>
      <c r="AO195" s="48">
        <f t="shared" ca="1" si="159"/>
        <v>26.058394437975629</v>
      </c>
      <c r="AP195" s="48">
        <f t="shared" ca="1" si="159"/>
        <v>26.058372881531387</v>
      </c>
      <c r="AQ195" s="48">
        <f t="shared" ca="1" si="159"/>
        <v>26.058352655578915</v>
      </c>
      <c r="AR195" s="48">
        <f t="shared" ca="1" si="159"/>
        <v>26.058334374672743</v>
      </c>
      <c r="AS195" s="48">
        <f t="shared" ca="1" si="159"/>
        <v>26.058318594267888</v>
      </c>
      <c r="AT195" s="48">
        <f t="shared" ca="1" si="159"/>
        <v>26.05830579384288</v>
      </c>
      <c r="AU195" s="48">
        <f t="shared" ref="AF195:BN196" ca="1" si="160">(AU192*(180/PI()))</f>
        <v>26.058296362331216</v>
      </c>
      <c r="AV195" s="48">
        <f t="shared" ca="1" si="160"/>
        <v>26.058290586303748</v>
      </c>
      <c r="AW195" s="48">
        <f t="shared" ca="1" si="160"/>
        <v>26.058288641261633</v>
      </c>
      <c r="AX195" s="48">
        <f t="shared" ca="1" si="160"/>
        <v>26.058290586303748</v>
      </c>
      <c r="AY195" s="48">
        <f t="shared" ca="1" si="160"/>
        <v>26.058296362331216</v>
      </c>
      <c r="AZ195" s="48">
        <f t="shared" ca="1" si="160"/>
        <v>26.05830579384288</v>
      </c>
      <c r="BA195" s="48">
        <f t="shared" ca="1" si="160"/>
        <v>26.058318594267888</v>
      </c>
      <c r="BB195" s="48">
        <f t="shared" ca="1" si="160"/>
        <v>26.058334374672743</v>
      </c>
      <c r="BC195" s="48">
        <f t="shared" ca="1" si="160"/>
        <v>26.058352655578915</v>
      </c>
      <c r="BD195" s="48">
        <f t="shared" ca="1" si="160"/>
        <v>26.058372881531387</v>
      </c>
      <c r="BE195" s="48">
        <f t="shared" ca="1" si="160"/>
        <v>26.058394437975629</v>
      </c>
      <c r="BF195" s="48">
        <f t="shared" ca="1" si="160"/>
        <v>26.058416669930462</v>
      </c>
      <c r="BG195" s="48">
        <f t="shared" ca="1" si="160"/>
        <v>26.058438901889421</v>
      </c>
      <c r="BH195" s="48">
        <f t="shared" ca="1" si="160"/>
        <v>26.058460458345522</v>
      </c>
      <c r="BI195" s="48">
        <f t="shared" ca="1" si="160"/>
        <v>26.058480684316216</v>
      </c>
      <c r="BJ195" s="48">
        <f t="shared" ca="1" si="160"/>
        <v>26.058498965244734</v>
      </c>
      <c r="BK195" s="48">
        <f t="shared" ca="1" si="160"/>
        <v>26.058514745673364</v>
      </c>
      <c r="BL195" s="48">
        <f t="shared" ca="1" si="160"/>
        <v>26.058527546120661</v>
      </c>
      <c r="BM195" s="48">
        <f t="shared" ca="1" si="160"/>
        <v>26.058536977650544</v>
      </c>
      <c r="BN195" s="48">
        <f t="shared" ca="1" si="160"/>
        <v>26.058542753689871</v>
      </c>
    </row>
    <row r="196" spans="30:66" x14ac:dyDescent="0.25">
      <c r="AD196" s="23" t="s">
        <v>306</v>
      </c>
      <c r="AE196" s="48">
        <f t="shared" ca="1" si="159"/>
        <v>80.134330559999924</v>
      </c>
      <c r="AF196" s="48">
        <f t="shared" ca="1" si="160"/>
        <v>80.134305946208016</v>
      </c>
      <c r="AG196" s="48">
        <f t="shared" ca="1" si="160"/>
        <v>80.134282080296217</v>
      </c>
      <c r="AH196" s="48">
        <f t="shared" ca="1" si="160"/>
        <v>80.13425968742051</v>
      </c>
      <c r="AI196" s="48">
        <f t="shared" ca="1" si="160"/>
        <v>80.134239447978032</v>
      </c>
      <c r="AJ196" s="48">
        <f t="shared" ca="1" si="160"/>
        <v>80.134221976934697</v>
      </c>
      <c r="AK196" s="48">
        <f t="shared" ca="1" si="160"/>
        <v>80.134207805140477</v>
      </c>
      <c r="AL196" s="48">
        <f t="shared" ca="1" si="160"/>
        <v>80.13419736319608</v>
      </c>
      <c r="AM196" s="48">
        <f t="shared" ca="1" si="160"/>
        <v>80.134190968373446</v>
      </c>
      <c r="AN196" s="48">
        <f t="shared" ca="1" si="160"/>
        <v>80.134188814974607</v>
      </c>
      <c r="AO196" s="48">
        <f t="shared" ca="1" si="160"/>
        <v>80.134190968426168</v>
      </c>
      <c r="AP196" s="48">
        <f t="shared" ca="1" si="160"/>
        <v>80.134197363295215</v>
      </c>
      <c r="AQ196" s="48">
        <f t="shared" ca="1" si="160"/>
        <v>80.134207805273405</v>
      </c>
      <c r="AR196" s="48">
        <f t="shared" ca="1" si="160"/>
        <v>80.13422197708654</v>
      </c>
      <c r="AS196" s="48">
        <f t="shared" ca="1" si="160"/>
        <v>80.134239448129875</v>
      </c>
      <c r="AT196" s="48">
        <f t="shared" ca="1" si="160"/>
        <v>80.134259687554021</v>
      </c>
      <c r="AU196" s="48">
        <f t="shared" ca="1" si="160"/>
        <v>80.134282080395337</v>
      </c>
      <c r="AV196" s="48">
        <f t="shared" ca="1" si="160"/>
        <v>80.134305946260724</v>
      </c>
      <c r="AW196" s="48">
        <f t="shared" ca="1" si="160"/>
        <v>80.134330559999924</v>
      </c>
      <c r="AX196" s="48">
        <f t="shared" ca="1" si="160"/>
        <v>80.13435517373911</v>
      </c>
      <c r="AY196" s="48">
        <f t="shared" ca="1" si="160"/>
        <v>80.134379039604497</v>
      </c>
      <c r="AZ196" s="48">
        <f t="shared" ca="1" si="160"/>
        <v>80.134401432445827</v>
      </c>
      <c r="BA196" s="48">
        <f t="shared" ca="1" si="160"/>
        <v>80.134421671869973</v>
      </c>
      <c r="BB196" s="48">
        <f t="shared" ca="1" si="160"/>
        <v>80.134439142913308</v>
      </c>
      <c r="BC196" s="48">
        <f t="shared" ca="1" si="160"/>
        <v>80.134453314726429</v>
      </c>
      <c r="BD196" s="48">
        <f t="shared" ca="1" si="160"/>
        <v>80.134463756704633</v>
      </c>
      <c r="BE196" s="48">
        <f t="shared" ca="1" si="160"/>
        <v>80.134470151573666</v>
      </c>
      <c r="BF196" s="48">
        <f t="shared" ca="1" si="160"/>
        <v>80.134472305025227</v>
      </c>
      <c r="BG196" s="48">
        <f t="shared" ca="1" si="160"/>
        <v>80.134470151626388</v>
      </c>
      <c r="BH196" s="48">
        <f t="shared" ca="1" si="160"/>
        <v>80.134463756803754</v>
      </c>
      <c r="BI196" s="48">
        <f t="shared" ca="1" si="160"/>
        <v>80.134453314859357</v>
      </c>
      <c r="BJ196" s="48">
        <f t="shared" ca="1" si="160"/>
        <v>80.134439143065137</v>
      </c>
      <c r="BK196" s="48">
        <f t="shared" ca="1" si="160"/>
        <v>80.134421672021801</v>
      </c>
      <c r="BL196" s="48">
        <f t="shared" ca="1" si="160"/>
        <v>80.134401432579324</v>
      </c>
      <c r="BM196" s="48">
        <f t="shared" ca="1" si="160"/>
        <v>80.134379039703617</v>
      </c>
      <c r="BN196" s="48">
        <f t="shared" ca="1" si="160"/>
        <v>80.134355173791818</v>
      </c>
    </row>
    <row r="197" spans="30:66" x14ac:dyDescent="0.25">
      <c r="AD197" s="23" t="s">
        <v>307</v>
      </c>
      <c r="AE197" s="49">
        <f t="shared" ref="AE197:AT198" ca="1" si="161">(ROUND((((((AE195-(TRUNC(AE195)))*0.6)*100)-(TRUNC(((AE195-(TRUNC(AE195)))*0.6)*100)))*0.006)+(TRUNC(AE195)+((TRUNC(((AE195-(TRUNC(AE195)))*0.6)*100))/100)),15))*10000</f>
        <v>260330.76091545</v>
      </c>
      <c r="AF197" s="49">
        <f t="shared" ca="1" si="161"/>
        <v>260330.75391328399</v>
      </c>
      <c r="AG197" s="49">
        <f t="shared" ca="1" si="161"/>
        <v>260330.73311954201</v>
      </c>
      <c r="AH197" s="49">
        <f t="shared" ca="1" si="161"/>
        <v>260330.699166034</v>
      </c>
      <c r="AI197" s="49">
        <f t="shared" ca="1" si="161"/>
        <v>260330.653084424</v>
      </c>
      <c r="AJ197" s="49">
        <f t="shared" ca="1" si="161"/>
        <v>260330.59627488101</v>
      </c>
      <c r="AK197" s="49">
        <f t="shared" ca="1" si="161"/>
        <v>260330.53046353799</v>
      </c>
      <c r="AL197" s="49">
        <f t="shared" ca="1" si="161"/>
        <v>260330.457650044</v>
      </c>
      <c r="AM197" s="49">
        <f t="shared" ca="1" si="161"/>
        <v>260330.38004680202</v>
      </c>
      <c r="AN197" s="49">
        <f t="shared" ca="1" si="161"/>
        <v>260330.30001174999</v>
      </c>
      <c r="AO197" s="49">
        <f t="shared" ca="1" si="161"/>
        <v>260330.21997671199</v>
      </c>
      <c r="AP197" s="49">
        <f t="shared" ca="1" si="161"/>
        <v>260330.14237351299</v>
      </c>
      <c r="AQ197" s="49">
        <f t="shared" ca="1" si="161"/>
        <v>260330.069560084</v>
      </c>
      <c r="AR197" s="49">
        <f t="shared" ca="1" si="161"/>
        <v>260330.003748822</v>
      </c>
      <c r="AS197" s="49">
        <f t="shared" ca="1" si="161"/>
        <v>260329.94693936399</v>
      </c>
      <c r="AT197" s="49">
        <f t="shared" ca="1" si="161"/>
        <v>260329.900857834</v>
      </c>
      <c r="AU197" s="49">
        <f t="shared" ref="AF197:BN198" ca="1" si="162">(ROUND((((((AU195-(TRUNC(AU195)))*0.6)*100)-(TRUNC(((AU195-(TRUNC(AU195)))*0.6)*100)))*0.006)+(TRUNC(AU195)+((TRUNC(((AU195-(TRUNC(AU195)))*0.6)*100))/100)),15))*10000</f>
        <v>260329.86690439199</v>
      </c>
      <c r="AV197" s="49">
        <f t="shared" ca="1" si="162"/>
        <v>260329.846110693</v>
      </c>
      <c r="AW197" s="49">
        <f t="shared" ca="1" si="162"/>
        <v>260329.83910854199</v>
      </c>
      <c r="AX197" s="49">
        <f t="shared" ca="1" si="162"/>
        <v>260329.846110693</v>
      </c>
      <c r="AY197" s="49">
        <f t="shared" ca="1" si="162"/>
        <v>260329.86690439199</v>
      </c>
      <c r="AZ197" s="49">
        <f t="shared" ca="1" si="162"/>
        <v>260329.900857834</v>
      </c>
      <c r="BA197" s="49">
        <f t="shared" ca="1" si="162"/>
        <v>260329.94693936399</v>
      </c>
      <c r="BB197" s="49">
        <f t="shared" ca="1" si="162"/>
        <v>260330.003748822</v>
      </c>
      <c r="BC197" s="49">
        <f t="shared" ca="1" si="162"/>
        <v>260330.069560084</v>
      </c>
      <c r="BD197" s="49">
        <f t="shared" ca="1" si="162"/>
        <v>260330.14237351299</v>
      </c>
      <c r="BE197" s="49">
        <f t="shared" ca="1" si="162"/>
        <v>260330.21997671199</v>
      </c>
      <c r="BF197" s="49">
        <f t="shared" ca="1" si="162"/>
        <v>260330.30001174999</v>
      </c>
      <c r="BG197" s="49">
        <f t="shared" ca="1" si="162"/>
        <v>260330.38004680202</v>
      </c>
      <c r="BH197" s="49">
        <f t="shared" ca="1" si="162"/>
        <v>260330.457650044</v>
      </c>
      <c r="BI197" s="49">
        <f t="shared" ca="1" si="162"/>
        <v>260330.53046353799</v>
      </c>
      <c r="BJ197" s="49">
        <f t="shared" ca="1" si="162"/>
        <v>260330.59627488101</v>
      </c>
      <c r="BK197" s="49">
        <f t="shared" ca="1" si="162"/>
        <v>260330.653084424</v>
      </c>
      <c r="BL197" s="49">
        <f t="shared" ca="1" si="162"/>
        <v>260330.699166034</v>
      </c>
      <c r="BM197" s="49">
        <f t="shared" ca="1" si="162"/>
        <v>260330.73311954201</v>
      </c>
      <c r="BN197" s="49">
        <f t="shared" ca="1" si="162"/>
        <v>260330.75391328399</v>
      </c>
    </row>
    <row r="198" spans="30:66" x14ac:dyDescent="0.25">
      <c r="AD198" s="23" t="s">
        <v>308</v>
      </c>
      <c r="AE198" s="49">
        <f t="shared" ca="1" si="161"/>
        <v>800803.59001599997</v>
      </c>
      <c r="AF198" s="49">
        <f t="shared" ca="1" si="162"/>
        <v>800803.50140634901</v>
      </c>
      <c r="AG198" s="49">
        <f t="shared" ca="1" si="162"/>
        <v>800803.41548906604</v>
      </c>
      <c r="AH198" s="49">
        <f t="shared" ca="1" si="162"/>
        <v>800803.33487471403</v>
      </c>
      <c r="AI198" s="49">
        <f t="shared" ca="1" si="162"/>
        <v>800803.26201272104</v>
      </c>
      <c r="AJ198" s="49">
        <f t="shared" ca="1" si="162"/>
        <v>800803.19911696506</v>
      </c>
      <c r="AK198" s="49">
        <f t="shared" ca="1" si="162"/>
        <v>800803.14809850603</v>
      </c>
      <c r="AL198" s="49">
        <f t="shared" ca="1" si="162"/>
        <v>800803.11050750595</v>
      </c>
      <c r="AM198" s="49">
        <f t="shared" ca="1" si="162"/>
        <v>800803.08748614404</v>
      </c>
      <c r="AN198" s="49">
        <f t="shared" ca="1" si="162"/>
        <v>800803.07973390899</v>
      </c>
      <c r="AO198" s="49">
        <f t="shared" ca="1" si="162"/>
        <v>800803.08748633403</v>
      </c>
      <c r="AP198" s="49">
        <f t="shared" ca="1" si="162"/>
        <v>800803.11050786311</v>
      </c>
      <c r="AQ198" s="49">
        <f t="shared" ca="1" si="162"/>
        <v>800803.14809898392</v>
      </c>
      <c r="AR198" s="49">
        <f t="shared" ca="1" si="162"/>
        <v>800803.19911751105</v>
      </c>
      <c r="AS198" s="49">
        <f t="shared" ca="1" si="162"/>
        <v>800803.26201326796</v>
      </c>
      <c r="AT198" s="49">
        <f t="shared" ca="1" si="162"/>
        <v>800803.33487519401</v>
      </c>
      <c r="AU198" s="49">
        <f t="shared" ca="1" si="162"/>
        <v>800803.41548942297</v>
      </c>
      <c r="AV198" s="49">
        <f t="shared" ca="1" si="162"/>
        <v>800803.501406539</v>
      </c>
      <c r="AW198" s="49">
        <f t="shared" ca="1" si="162"/>
        <v>800803.59001599997</v>
      </c>
      <c r="AX198" s="49">
        <f t="shared" ca="1" si="162"/>
        <v>800803.67862546095</v>
      </c>
      <c r="AY198" s="49">
        <f t="shared" ca="1" si="162"/>
        <v>800803.76454257604</v>
      </c>
      <c r="AZ198" s="49">
        <f t="shared" ca="1" si="162"/>
        <v>800803.84515680512</v>
      </c>
      <c r="BA198" s="49">
        <f t="shared" ca="1" si="162"/>
        <v>800803.9180187321</v>
      </c>
      <c r="BB198" s="49">
        <f t="shared" ca="1" si="162"/>
        <v>800803.98091448797</v>
      </c>
      <c r="BC198" s="49">
        <f t="shared" ca="1" si="162"/>
        <v>800804.0319330151</v>
      </c>
      <c r="BD198" s="49">
        <f t="shared" ca="1" si="162"/>
        <v>800804.06952413695</v>
      </c>
      <c r="BE198" s="49">
        <f t="shared" ca="1" si="162"/>
        <v>800804.09254566499</v>
      </c>
      <c r="BF198" s="49">
        <f t="shared" ca="1" si="162"/>
        <v>800804.10029809107</v>
      </c>
      <c r="BG198" s="49">
        <f t="shared" ca="1" si="162"/>
        <v>800804.09254585509</v>
      </c>
      <c r="BH198" s="49">
        <f t="shared" ca="1" si="162"/>
        <v>800804.06952449388</v>
      </c>
      <c r="BI198" s="49">
        <f t="shared" ca="1" si="162"/>
        <v>800804.03193349403</v>
      </c>
      <c r="BJ198" s="49">
        <f t="shared" ca="1" si="162"/>
        <v>800803.980915035</v>
      </c>
      <c r="BK198" s="49">
        <f t="shared" ca="1" si="162"/>
        <v>800803.91801927797</v>
      </c>
      <c r="BL198" s="49">
        <f t="shared" ca="1" si="162"/>
        <v>800803.84515728592</v>
      </c>
      <c r="BM198" s="49">
        <f t="shared" ca="1" si="162"/>
        <v>800803.76454293297</v>
      </c>
      <c r="BN198" s="49">
        <f t="shared" ca="1" si="162"/>
        <v>800803.67862565094</v>
      </c>
    </row>
  </sheetData>
  <sheetProtection sheet="1" objects="1" selectLockedCells="1"/>
  <mergeCells count="27">
    <mergeCell ref="C24:D24"/>
    <mergeCell ref="C33:D33"/>
    <mergeCell ref="O36:Q36"/>
    <mergeCell ref="O37:Q37"/>
    <mergeCell ref="Q1:S1"/>
    <mergeCell ref="D4:F4"/>
    <mergeCell ref="D5:F5"/>
    <mergeCell ref="C7:D7"/>
    <mergeCell ref="O35:R35"/>
    <mergeCell ref="C19:D19"/>
    <mergeCell ref="O40:Q40"/>
    <mergeCell ref="O41:Q41"/>
    <mergeCell ref="B60:C60"/>
    <mergeCell ref="O49:P49"/>
    <mergeCell ref="O47:P47"/>
    <mergeCell ref="O60:P60"/>
    <mergeCell ref="B56:C56"/>
    <mergeCell ref="B57:C57"/>
    <mergeCell ref="B58:C58"/>
    <mergeCell ref="B59:C59"/>
    <mergeCell ref="O62:P62"/>
    <mergeCell ref="O61:P61"/>
    <mergeCell ref="B42:B43"/>
    <mergeCell ref="B51:B52"/>
    <mergeCell ref="O46:P46"/>
    <mergeCell ref="O52:P53"/>
    <mergeCell ref="B61:C61"/>
  </mergeCells>
  <phoneticPr fontId="1" type="noConversion"/>
  <conditionalFormatting sqref="R36">
    <cfRule type="expression" dxfId="5" priority="4">
      <formula>IF(S36="Less than D56",1)</formula>
    </cfRule>
  </conditionalFormatting>
  <conditionalFormatting sqref="R40">
    <cfRule type="expression" dxfId="4" priority="3">
      <formula>IF(S40="Less than R37",1)</formula>
    </cfRule>
  </conditionalFormatting>
  <conditionalFormatting sqref="R37">
    <cfRule type="expression" dxfId="3" priority="2">
      <formula>IF(S40="Less than R37",1)</formula>
    </cfRule>
  </conditionalFormatting>
  <conditionalFormatting sqref="D56">
    <cfRule type="expression" dxfId="2" priority="1">
      <formula>IF(S36="Less than D56",1)</formula>
    </cfRule>
  </conditionalFormatting>
  <dataValidations count="6">
    <dataValidation type="list" allowBlank="1" showInputMessage="1" showErrorMessage="1" sqref="D17" xr:uid="{00000000-0002-0000-0100-000000000000}">
      <formula1>Names</formula1>
    </dataValidation>
    <dataValidation type="list" allowBlank="1" showInputMessage="1" showErrorMessage="1" sqref="D11:D16" xr:uid="{00000000-0002-0000-0100-000001000000}">
      <formula1>Answer</formula1>
    </dataValidation>
    <dataValidation type="list" allowBlank="1" showInputMessage="1" showErrorMessage="1" sqref="D9" xr:uid="{00000000-0002-0000-0100-000002000000}">
      <formula1>Type</formula1>
    </dataValidation>
    <dataValidation type="whole" allowBlank="1" showInputMessage="1" showErrorMessage="1" error="Enter an outbound true heading between 0 and 360" sqref="D28:D31" xr:uid="{00000000-0002-0000-0100-000003000000}">
      <formula1>0</formula1>
      <formula2>360</formula2>
    </dataValidation>
    <dataValidation type="list" allowBlank="1" showInputMessage="1" showErrorMessage="1" sqref="D34" xr:uid="{00000000-0002-0000-0100-000004000000}">
      <formula1>GEType</formula1>
    </dataValidation>
    <dataValidation type="list" allowBlank="1" showInputMessage="1" showErrorMessage="1" sqref="D10" xr:uid="{00000000-0002-0000-0100-000005000000}">
      <formula1>Shape</formula1>
    </dataValidation>
  </dataValidations>
  <hyperlinks>
    <hyperlink ref="D3" r:id="rId1" xr:uid="{00000000-0004-0000-0100-000000000000}"/>
    <hyperlink ref="D4" r:id="rId2" display="Contact Thayer Rabei, AFS-460 and Mark E Fox, AGL-220" xr:uid="{00000000-0004-0000-0100-000001000000}"/>
    <hyperlink ref="E27" r:id="rId3" display="http://www.faa.gov/documentLibrary/media/Advisory_Circular/150_5390_2c.pdf" xr:uid="{00000000-0004-0000-0100-000002000000}"/>
    <hyperlink ref="D5" location="Instructions!A1" display="See the &quot;Instruction&quot; tab for more information" xr:uid="{00000000-0004-0000-0100-000003000000}"/>
    <hyperlink ref="D4:F4" r:id="rId4" display="Contact: Jim Carman" xr:uid="{00000000-0004-0000-0100-000004000000}"/>
    <hyperlink ref="D2" r:id="rId5" xr:uid="{00000000-0004-0000-0100-000005000000}"/>
  </hyperlinks>
  <pageMargins left="0.75" right="0.75" top="1" bottom="1" header="0.5" footer="0.5"/>
  <pageSetup scale="36" orientation="landscape" horizontalDpi="4294967295" verticalDpi="4294967295" r:id="rId6"/>
  <headerFooter alignWithMargins="0"/>
  <drawing r:id="rId7"/>
  <legacyDrawing r:id="rId8"/>
  <controls>
    <mc:AlternateContent xmlns:mc="http://schemas.openxmlformats.org/markup-compatibility/2006">
      <mc:Choice Requires="x14">
        <control shapeId="5693" r:id="rId9" name="CommandButton1">
          <controlPr defaultSize="0" autoLine="0" altText="command button" r:id="rId10">
            <anchor moveWithCells="1">
              <from>
                <xdr:col>4</xdr:col>
                <xdr:colOff>60960</xdr:colOff>
                <xdr:row>31</xdr:row>
                <xdr:rowOff>144780</xdr:rowOff>
              </from>
              <to>
                <xdr:col>5</xdr:col>
                <xdr:colOff>556260</xdr:colOff>
                <xdr:row>34</xdr:row>
                <xdr:rowOff>160020</xdr:rowOff>
              </to>
            </anchor>
          </controlPr>
        </control>
      </mc:Choice>
      <mc:Fallback>
        <control shapeId="5693" r:id="rId9"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ES206"/>
  <sheetViews>
    <sheetView workbookViewId="0">
      <selection activeCell="B14" sqref="B14"/>
    </sheetView>
  </sheetViews>
  <sheetFormatPr defaultRowHeight="13.2" x14ac:dyDescent="0.25"/>
  <cols>
    <col min="2" max="2" width="14.6640625" customWidth="1"/>
    <col min="3" max="3" width="11.88671875" customWidth="1"/>
    <col min="4" max="4" width="13.33203125" customWidth="1"/>
    <col min="5" max="5" width="14.6640625" customWidth="1"/>
    <col min="6" max="6" width="10.6640625" style="23" customWidth="1"/>
    <col min="7" max="7" width="10.6640625" customWidth="1"/>
    <col min="8" max="8" width="11.109375" customWidth="1"/>
    <col min="9" max="9" width="9.6640625" customWidth="1"/>
    <col min="10" max="10" width="13" customWidth="1"/>
    <col min="11" max="11" width="12.5546875" customWidth="1"/>
    <col min="12" max="12" width="14.109375" customWidth="1"/>
    <col min="13" max="13" width="12" customWidth="1"/>
    <col min="14" max="14" width="11.6640625" customWidth="1"/>
    <col min="15" max="15" width="14.33203125" customWidth="1"/>
    <col min="16" max="16" width="12.33203125" customWidth="1"/>
    <col min="17" max="17" width="11.88671875" customWidth="1"/>
    <col min="18" max="18" width="14.33203125" customWidth="1"/>
    <col min="19" max="19" width="6" hidden="1" customWidth="1"/>
    <col min="20" max="28" width="9.109375" hidden="1" customWidth="1"/>
    <col min="29" max="29" width="11" hidden="1" customWidth="1"/>
    <col min="30" max="30" width="14.5546875" hidden="1" customWidth="1"/>
    <col min="31" max="35" width="9.109375" hidden="1" customWidth="1"/>
    <col min="36" max="36" width="13.44140625" hidden="1" customWidth="1"/>
    <col min="37" max="40" width="9.109375" hidden="1" customWidth="1"/>
    <col min="41" max="41" width="14.88671875" hidden="1" customWidth="1"/>
    <col min="42" max="47" width="9.109375" hidden="1" customWidth="1"/>
    <col min="48" max="48" width="11" hidden="1" customWidth="1"/>
    <col min="49" max="49" width="14.5546875" hidden="1" customWidth="1"/>
    <col min="50" max="54" width="9.109375" hidden="1" customWidth="1"/>
    <col min="55" max="55" width="13.44140625" hidden="1" customWidth="1"/>
    <col min="56" max="59" width="9.109375" hidden="1" customWidth="1"/>
    <col min="60" max="60" width="14.88671875" hidden="1" customWidth="1"/>
    <col min="61" max="66" width="9.109375" hidden="1" customWidth="1"/>
    <col min="67" max="67" width="11" hidden="1" customWidth="1"/>
    <col min="68" max="68" width="14.5546875" hidden="1" customWidth="1"/>
    <col min="69" max="73" width="9.109375" hidden="1" customWidth="1"/>
    <col min="74" max="74" width="13.44140625" hidden="1" customWidth="1"/>
    <col min="75" max="78" width="9.109375" hidden="1" customWidth="1"/>
    <col min="79" max="79" width="14.88671875" hidden="1" customWidth="1"/>
    <col min="80" max="80" width="9.109375" customWidth="1"/>
    <col min="81" max="81" width="9.109375" hidden="1" customWidth="1"/>
    <col min="82" max="82" width="18.5546875" hidden="1" customWidth="1"/>
    <col min="83" max="103" width="15.6640625" hidden="1" customWidth="1"/>
    <col min="104" max="149" width="9.109375" hidden="1" customWidth="1"/>
    <col min="150" max="315" width="0" hidden="1" customWidth="1"/>
  </cols>
  <sheetData>
    <row r="1" spans="1:103" x14ac:dyDescent="0.25">
      <c r="A1" s="4"/>
      <c r="B1" s="61" t="s">
        <v>507</v>
      </c>
      <c r="C1" s="5"/>
      <c r="D1" s="5"/>
      <c r="E1" s="110"/>
      <c r="F1" s="111" t="s">
        <v>563</v>
      </c>
      <c r="G1" s="111" t="s">
        <v>746</v>
      </c>
      <c r="H1" s="11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6"/>
    </row>
    <row r="2" spans="1:103" x14ac:dyDescent="0.25">
      <c r="A2" s="7"/>
      <c r="B2" s="64" t="s">
        <v>508</v>
      </c>
      <c r="C2" s="3">
        <f>Data!D25</f>
        <v>260330.3</v>
      </c>
      <c r="D2" s="8"/>
      <c r="E2" s="111" t="s">
        <v>560</v>
      </c>
      <c r="F2" s="109">
        <f>Data!D29</f>
        <v>90</v>
      </c>
      <c r="G2" s="109">
        <f>IF($D$5="W",IF(F2+$C$5&gt;360,F2+$C$5-360,F2+$C$5),IF(F2-$C$5&lt;0,F2-$C$5+360,F2-$C$5))</f>
        <v>96</v>
      </c>
      <c r="H2" s="11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9"/>
    </row>
    <row r="3" spans="1:103" x14ac:dyDescent="0.25">
      <c r="A3" s="7"/>
      <c r="B3" s="64" t="s">
        <v>509</v>
      </c>
      <c r="C3" s="3">
        <f>Data!D26</f>
        <v>800803.59</v>
      </c>
      <c r="D3" s="8"/>
      <c r="E3" s="111" t="s">
        <v>561</v>
      </c>
      <c r="F3" s="109">
        <f>Data!D30</f>
        <v>270</v>
      </c>
      <c r="G3" s="109">
        <f>IF($D$5="W",IF(F3+$C$5&gt;360,F3+$C$5-360,F3+$C$5),IF(F3-$C$5&lt;0,F3-$C$5+360,F3-$C$5))</f>
        <v>276</v>
      </c>
      <c r="H3" s="112"/>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9"/>
      <c r="CD3" s="25" t="s">
        <v>327</v>
      </c>
      <c r="CE3" s="23" t="s">
        <v>287</v>
      </c>
      <c r="CF3" s="23" t="s">
        <v>284</v>
      </c>
      <c r="CG3" s="23" t="s">
        <v>289</v>
      </c>
      <c r="CH3" s="23" t="s">
        <v>294</v>
      </c>
      <c r="CV3" s="23" t="s">
        <v>304</v>
      </c>
      <c r="CW3" s="23" t="s">
        <v>306</v>
      </c>
      <c r="CX3" s="23" t="s">
        <v>307</v>
      </c>
      <c r="CY3" s="23" t="s">
        <v>308</v>
      </c>
    </row>
    <row r="4" spans="1:103" x14ac:dyDescent="0.25">
      <c r="A4" s="7"/>
      <c r="B4" s="64" t="s">
        <v>165</v>
      </c>
      <c r="C4" s="3">
        <f>Data!D27</f>
        <v>14</v>
      </c>
      <c r="D4" s="8"/>
      <c r="E4" s="111" t="s">
        <v>562</v>
      </c>
      <c r="F4" s="109">
        <f>Data!D31</f>
        <v>0</v>
      </c>
      <c r="G4" s="109">
        <f>IF($D$5="W",IF(F4+$C$5&gt;360,F4+$C$5-360,F4+$C$5),IF(F4-$C$5&lt;0,F4-$C$5+360,F4-$C$5))</f>
        <v>6</v>
      </c>
      <c r="H4" s="112"/>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9"/>
      <c r="CD4" s="62" t="s">
        <v>504</v>
      </c>
      <c r="CE4" s="63">
        <f>COS(E11*PI()/180)*D11</f>
        <v>174.20742072392832</v>
      </c>
      <c r="CF4" s="63">
        <f>$C$2</f>
        <v>260330.3</v>
      </c>
      <c r="CG4" s="63">
        <f>$C$3</f>
        <v>800803.59</v>
      </c>
      <c r="CH4" s="63">
        <f>IF($D$5="E",IF(C11+$C$5&gt;360,C11+$C$5-360,C11+$C$5),IF(C11-$C$5&lt;0,C11-$C$5+360,C11-$C$5))</f>
        <v>212</v>
      </c>
      <c r="CI4" s="63">
        <f>ROUND((CE4/6076.115489),15)</f>
        <v>2.8670854107250999E-2</v>
      </c>
      <c r="CJ4" s="63">
        <f t="shared" ref="CJ4:CK8" si="0">ROUND((((ROUND(((((((CF4)-((TRUNC(CF4/100))*100))/60)+(TRUNC(CF4/100))-((TRUNC(CF4/10000))*100))/60)+((TRUNC(CF4/10000))))*1000000,2))/1000000)*(PI()/180)),15)</f>
        <v>0.45480516874807703</v>
      </c>
      <c r="CK4" s="63">
        <f t="shared" si="0"/>
        <v>1.39860791215351</v>
      </c>
      <c r="CL4" s="63">
        <f t="shared" ref="CL4:CL9" si="1">ROUND((((((CH4-(TRUNC(CH4)))*0.6)*100)-(TRUNC(((CH4-(TRUNC(CH4)))*0.6)*100)))*0.006)+(TRUNC(CH4)+((TRUNC(((CH4-(TRUNC(CH4)))*0.6)*100))/100)),15)</f>
        <v>212</v>
      </c>
      <c r="CM4" s="63">
        <f t="shared" ref="CM4:CM9" si="2">ROUND((CH4*(PI()/180)),15)</f>
        <v>3.7000980142279798</v>
      </c>
      <c r="CN4" s="63">
        <f>ROUND(((CI4*1852)/6399598.4),15)</f>
        <v>8.2971490529999997E-6</v>
      </c>
      <c r="CO4" s="63">
        <f>ROUND(((((COS(((((CI4*1852)/6399598.4)*(COS(CM4)))/2)+CJ4))*(COS(((((CI4*1852)/6399598.4)*(COS(CM4)))/2)+CJ4)))/148.38)+1),15)</f>
        <v>1.0054389368393399</v>
      </c>
      <c r="CP4" s="63">
        <f>((CO4*CO4)*(CN4*CN4))*(SIN(CM4))*(COS(CM4))</f>
        <v>3.1275148094508879E-11</v>
      </c>
      <c r="CQ4" s="63">
        <f>((((CI4*1852)/6399598.4)*(COS(CM4)))/2)+CJ4</f>
        <v>0.45480165055734789</v>
      </c>
      <c r="CR4" s="63">
        <f>((TAN((CQ4-CJ4)+CQ4))*CP4)*(TAN(CM4))</f>
        <v>9.5562071524304345E-12</v>
      </c>
      <c r="CS4" s="63">
        <f>ROUND((((((COS(CM4-(CP4/3)))*CN4)*(SQRT(CO4))*((CO4)))-(CR4/2))+CJ4),15)</f>
        <v>0.45479807487820401</v>
      </c>
      <c r="CT4" s="63">
        <f>ROUND(((CK4-((((SQRT((((COS(CS4))*(COS(CS4)))/148.38)+1))*CN4)*(SIN(CM4-(CP4/6))))/(COS((CR4/6)+CS4))))),15)</f>
        <v>1.3986128197743599</v>
      </c>
      <c r="CU4" s="63">
        <f>ROUND((((((((((SQRT((((COS(CS4))*(COS(CS4)))/148.38)+1))*CN4)*(SIN(CM4-(CP4/6))))/(COS((CR4/6)+CR4)))*(SIN((CR4/3)+CR4)))-(CP4/2))-PI())+CM4)+(PI()+PI())),15)</f>
        <v>6.8416906678021396</v>
      </c>
      <c r="CV4" s="63">
        <f t="shared" ref="CV4:CW8" si="3">(CS4*(180/PI()))</f>
        <v>26.058010221195882</v>
      </c>
      <c r="CW4" s="63">
        <f t="shared" si="3"/>
        <v>80.134611745962076</v>
      </c>
      <c r="CX4" s="63">
        <f t="shared" ref="CX4:CY8" si="4">(ROUND((((((CV4-(TRUNC(CV4)))*0.6)*100)-(TRUNC(((CV4-(TRUNC(CV4)))*0.6)*100)))*0.006)+(TRUNC(CV4)+((TRUNC(((CV4-(TRUNC(CV4)))*0.6)*100))/100)),15))*10000</f>
        <v>260328.83679630503</v>
      </c>
      <c r="CY4" s="63">
        <f t="shared" si="4"/>
        <v>800804.60228546301</v>
      </c>
    </row>
    <row r="5" spans="1:103" x14ac:dyDescent="0.25">
      <c r="A5" s="7"/>
      <c r="B5" s="64" t="s">
        <v>510</v>
      </c>
      <c r="C5" s="81">
        <v>6</v>
      </c>
      <c r="D5" s="88" t="s">
        <v>118</v>
      </c>
      <c r="E5" s="8"/>
      <c r="F5" s="112"/>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9"/>
      <c r="CD5" s="62" t="s">
        <v>511</v>
      </c>
      <c r="CE5" s="63">
        <f>COS(E12*PI()/180)*D12</f>
        <v>0</v>
      </c>
      <c r="CF5" s="63">
        <f t="shared" ref="CF5:CF53" si="5">$C$2</f>
        <v>260330.3</v>
      </c>
      <c r="CG5" s="63">
        <f t="shared" ref="CG5:CG53" si="6">$C$3</f>
        <v>800803.59</v>
      </c>
      <c r="CH5" s="63">
        <f>IF($D$5="E",IF(C12+$C$5&gt;360,C12+$C$5-360,C12+$C$5),IF(C12-$C$5&lt;0,C12-$C$5+360,C12-$C$5))</f>
        <v>354</v>
      </c>
      <c r="CI5" s="63">
        <f>ROUND((CE5/6076.115489),15)</f>
        <v>0</v>
      </c>
      <c r="CJ5" s="63">
        <f t="shared" si="0"/>
        <v>0.45480516874807703</v>
      </c>
      <c r="CK5" s="63">
        <f t="shared" si="0"/>
        <v>1.39860791215351</v>
      </c>
      <c r="CL5" s="63">
        <f t="shared" si="1"/>
        <v>354</v>
      </c>
      <c r="CM5" s="63">
        <f t="shared" si="2"/>
        <v>6.1784655520599303</v>
      </c>
      <c r="CN5" s="63">
        <f>ROUND(((CI5*1852)/6399598.4),15)</f>
        <v>0</v>
      </c>
      <c r="CO5" s="63">
        <f>ROUND(((((COS(((((CI5*1852)/6399598.4)*(COS(CM5)))/2)+CJ5))*(COS(((((CI5*1852)/6399598.4)*(COS(CM5)))/2)+CJ5)))/148.38)+1),15)</f>
        <v>1.00543891812539</v>
      </c>
      <c r="CP5" s="63">
        <f>((CO5*CO5)*(CN5*CN5))*(SIN(CM5))*(COS(CM5))</f>
        <v>0</v>
      </c>
      <c r="CQ5" s="63">
        <f>((((CI5*1852)/6399598.4)*(COS(CM5)))/2)+CJ5</f>
        <v>0.45480516874807703</v>
      </c>
      <c r="CR5" s="63">
        <f>((TAN((CQ5-CJ5)+CQ5))*CP5)*(TAN(CM5))</f>
        <v>0</v>
      </c>
      <c r="CS5" s="63">
        <f>ROUND((((((COS(CM5-(CP5/3)))*CN5)*(SQRT(CO5))*((CO5)))-(CR5/2))+CJ5),15)</f>
        <v>0.45480516874807703</v>
      </c>
      <c r="CT5" s="63">
        <f>ROUND(((CK5-((((SQRT((((COS(CS5))*(COS(CS5)))/148.38)+1))*CN5)*(SIN(CM5-(CP5/6))))/(COS((CR5/6)+CS5))))),15)</f>
        <v>1.39860791215351</v>
      </c>
      <c r="CU5" s="63">
        <f>ROUND((((((((((SQRT((((COS(CS5))*(COS(CS5)))/148.38)+1))*CN5)*(SIN(CM5-(CP5/6))))/(COS((CR5/6)+CR5)))*(SIN((CR5/3)+CR5)))-(CP5/2))-PI())+CM5)+(PI()+PI())),15)</f>
        <v>9.3200582056497208</v>
      </c>
      <c r="CV5" s="63">
        <f t="shared" si="3"/>
        <v>26.058416670000021</v>
      </c>
      <c r="CW5" s="63">
        <f t="shared" si="3"/>
        <v>80.134330559999924</v>
      </c>
      <c r="CX5" s="63">
        <f t="shared" si="4"/>
        <v>260330.30001199999</v>
      </c>
      <c r="CY5" s="63">
        <f t="shared" si="4"/>
        <v>800803.59001599997</v>
      </c>
    </row>
    <row r="6" spans="1:103" x14ac:dyDescent="0.25">
      <c r="A6" s="7"/>
      <c r="B6" s="8"/>
      <c r="C6" s="8"/>
      <c r="D6" s="8"/>
      <c r="E6" s="8"/>
      <c r="F6" s="112"/>
      <c r="G6" s="8"/>
      <c r="H6" s="14"/>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9"/>
      <c r="CD6" s="62" t="s">
        <v>512</v>
      </c>
      <c r="CE6" s="63">
        <f>COS(E13*PI()/180)*D13</f>
        <v>0</v>
      </c>
      <c r="CF6" s="63">
        <f t="shared" si="5"/>
        <v>260330.3</v>
      </c>
      <c r="CG6" s="63">
        <f t="shared" si="6"/>
        <v>800803.59</v>
      </c>
      <c r="CH6" s="63">
        <f>IF($D$5="E",IF(C13+$C$5&gt;360,C13+$C$5-360,C13+$C$5),IF(C13-$C$5&lt;0,C13-$C$5+360,C13-$C$5))</f>
        <v>354</v>
      </c>
      <c r="CI6" s="63">
        <f>ROUND((CE6/6076.115489),15)</f>
        <v>0</v>
      </c>
      <c r="CJ6" s="63">
        <f t="shared" si="0"/>
        <v>0.45480516874807703</v>
      </c>
      <c r="CK6" s="63">
        <f t="shared" si="0"/>
        <v>1.39860791215351</v>
      </c>
      <c r="CL6" s="63">
        <f t="shared" si="1"/>
        <v>354</v>
      </c>
      <c r="CM6" s="63">
        <f t="shared" si="2"/>
        <v>6.1784655520599303</v>
      </c>
      <c r="CN6" s="63">
        <f>ROUND(((CI6*1852)/6399598.4),15)</f>
        <v>0</v>
      </c>
      <c r="CO6" s="63">
        <f>ROUND(((((COS(((((CI6*1852)/6399598.4)*(COS(CM6)))/2)+CJ6))*(COS(((((CI6*1852)/6399598.4)*(COS(CM6)))/2)+CJ6)))/148.38)+1),15)</f>
        <v>1.00543891812539</v>
      </c>
      <c r="CP6" s="63">
        <f>((CO6*CO6)*(CN6*CN6))*(SIN(CM6))*(COS(CM6))</f>
        <v>0</v>
      </c>
      <c r="CQ6" s="63">
        <f>((((CI6*1852)/6399598.4)*(COS(CM6)))/2)+CJ6</f>
        <v>0.45480516874807703</v>
      </c>
      <c r="CR6" s="63">
        <f>((TAN((CQ6-CJ6)+CQ6))*CP6)*(TAN(CM6))</f>
        <v>0</v>
      </c>
      <c r="CS6" s="63">
        <f>ROUND((((((COS(CM6-(CP6/3)))*CN6)*(SQRT(CO6))*((CO6)))-(CR6/2))+CJ6),15)</f>
        <v>0.45480516874807703</v>
      </c>
      <c r="CT6" s="63">
        <f>ROUND(((CK6-((((SQRT((((COS(CS6))*(COS(CS6)))/148.38)+1))*CN6)*(SIN(CM6-(CP6/6))))/(COS((CR6/6)+CS6))))),15)</f>
        <v>1.39860791215351</v>
      </c>
      <c r="CU6" s="63">
        <f>ROUND((((((((((SQRT((((COS(CS6))*(COS(CS6)))/148.38)+1))*CN6)*(SIN(CM6-(CP6/6))))/(COS((CR6/6)+CR6)))*(SIN((CR6/3)+CR6)))-(CP6/2))-PI())+CM6)+(PI()+PI())),15)</f>
        <v>9.3200582056497208</v>
      </c>
      <c r="CV6" s="63">
        <f t="shared" si="3"/>
        <v>26.058416670000021</v>
      </c>
      <c r="CW6" s="63">
        <f t="shared" si="3"/>
        <v>80.134330559999924</v>
      </c>
      <c r="CX6" s="63">
        <f t="shared" si="4"/>
        <v>260330.30001199999</v>
      </c>
      <c r="CY6" s="63">
        <f t="shared" si="4"/>
        <v>800803.59001599997</v>
      </c>
    </row>
    <row r="7" spans="1:103" x14ac:dyDescent="0.25">
      <c r="A7" s="7"/>
      <c r="B7" s="243" t="s">
        <v>751</v>
      </c>
      <c r="C7" s="243"/>
      <c r="D7" s="243"/>
      <c r="E7" s="243"/>
      <c r="F7" s="106"/>
      <c r="G7" s="8"/>
      <c r="H7" s="91"/>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9"/>
      <c r="CD7" s="62" t="s">
        <v>513</v>
      </c>
      <c r="CE7" s="63">
        <f>COS(E14*PI()/180)*D14</f>
        <v>0</v>
      </c>
      <c r="CF7" s="63">
        <f t="shared" si="5"/>
        <v>260330.3</v>
      </c>
      <c r="CG7" s="63">
        <f t="shared" si="6"/>
        <v>800803.59</v>
      </c>
      <c r="CH7" s="63">
        <f>IF($D$5="E",IF(C14+$C$5&gt;360,C14+$C$5-360,C14+$C$5),IF(C14-$C$5&lt;0,C14-$C$5+360,C14-$C$5))</f>
        <v>354</v>
      </c>
      <c r="CI7" s="63">
        <f>ROUND((CE7/6076.115489),15)</f>
        <v>0</v>
      </c>
      <c r="CJ7" s="63">
        <f t="shared" si="0"/>
        <v>0.45480516874807703</v>
      </c>
      <c r="CK7" s="63">
        <f t="shared" si="0"/>
        <v>1.39860791215351</v>
      </c>
      <c r="CL7" s="63">
        <f t="shared" si="1"/>
        <v>354</v>
      </c>
      <c r="CM7" s="63">
        <f t="shared" si="2"/>
        <v>6.1784655520599303</v>
      </c>
      <c r="CN7" s="63">
        <f>ROUND(((CI7*1852)/6399598.4),15)</f>
        <v>0</v>
      </c>
      <c r="CO7" s="63">
        <f>ROUND(((((COS(((((CI7*1852)/6399598.4)*(COS(CM7)))/2)+CJ7))*(COS(((((CI7*1852)/6399598.4)*(COS(CM7)))/2)+CJ7)))/148.38)+1),15)</f>
        <v>1.00543891812539</v>
      </c>
      <c r="CP7" s="63">
        <f>((CO7*CO7)*(CN7*CN7))*(SIN(CM7))*(COS(CM7))</f>
        <v>0</v>
      </c>
      <c r="CQ7" s="63">
        <f>((((CI7*1852)/6399598.4)*(COS(CM7)))/2)+CJ7</f>
        <v>0.45480516874807703</v>
      </c>
      <c r="CR7" s="63">
        <f>((TAN((CQ7-CJ7)+CQ7))*CP7)*(TAN(CM7))</f>
        <v>0</v>
      </c>
      <c r="CS7" s="63">
        <f>ROUND((((((COS(CM7-(CP7/3)))*CN7)*(SQRT(CO7))*((CO7)))-(CR7/2))+CJ7),15)</f>
        <v>0.45480516874807703</v>
      </c>
      <c r="CT7" s="63">
        <f>ROUND(((CK7-((((SQRT((((COS(CS7))*(COS(CS7)))/148.38)+1))*CN7)*(SIN(CM7-(CP7/6))))/(COS((CR7/6)+CS7))))),15)</f>
        <v>1.39860791215351</v>
      </c>
      <c r="CU7" s="63">
        <f>ROUND((((((((((SQRT((((COS(CS7))*(COS(CS7)))/148.38)+1))*CN7)*(SIN(CM7-(CP7/6))))/(COS((CR7/6)+CR7)))*(SIN((CR7/3)+CR7)))-(CP7/2))-PI())+CM7)+(PI()+PI())),15)</f>
        <v>9.3200582056497208</v>
      </c>
      <c r="CV7" s="63">
        <f t="shared" si="3"/>
        <v>26.058416670000021</v>
      </c>
      <c r="CW7" s="63">
        <f t="shared" si="3"/>
        <v>80.134330559999924</v>
      </c>
      <c r="CX7" s="63">
        <f t="shared" si="4"/>
        <v>260330.30001199999</v>
      </c>
      <c r="CY7" s="63">
        <f t="shared" si="4"/>
        <v>800803.59001599997</v>
      </c>
    </row>
    <row r="8" spans="1:103" ht="13.8" thickBot="1" x14ac:dyDescent="0.3">
      <c r="A8" s="7"/>
      <c r="B8" s="8"/>
      <c r="C8" s="8"/>
      <c r="D8" s="8"/>
      <c r="E8" s="8"/>
      <c r="F8" s="112"/>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9"/>
      <c r="CD8" s="62" t="s">
        <v>514</v>
      </c>
      <c r="CE8" s="63">
        <f>COS(E15*PI()/180)*D15</f>
        <v>0</v>
      </c>
      <c r="CF8" s="63">
        <f t="shared" si="5"/>
        <v>260330.3</v>
      </c>
      <c r="CG8" s="63">
        <f t="shared" si="6"/>
        <v>800803.59</v>
      </c>
      <c r="CH8" s="63">
        <f>IF($D$5="E",IF(C15+$C$5&gt;360,C15+$C$5-360,C15+$C$5),IF(C15-$C$5&lt;0,C15-$C$5+360,C15-$C$5))</f>
        <v>354</v>
      </c>
      <c r="CI8" s="63">
        <f>ROUND((CE8/6076.115489),15)</f>
        <v>0</v>
      </c>
      <c r="CJ8" s="63">
        <f t="shared" si="0"/>
        <v>0.45480516874807703</v>
      </c>
      <c r="CK8" s="63">
        <f t="shared" si="0"/>
        <v>1.39860791215351</v>
      </c>
      <c r="CL8" s="63">
        <f t="shared" si="1"/>
        <v>354</v>
      </c>
      <c r="CM8" s="63">
        <f t="shared" si="2"/>
        <v>6.1784655520599303</v>
      </c>
      <c r="CN8" s="63">
        <f>ROUND(((CI8*1852)/6399598.4),15)</f>
        <v>0</v>
      </c>
      <c r="CO8" s="63">
        <f>ROUND(((((COS(((((CI8*1852)/6399598.4)*(COS(CM8)))/2)+CJ8))*(COS(((((CI8*1852)/6399598.4)*(COS(CM8)))/2)+CJ8)))/148.38)+1),15)</f>
        <v>1.00543891812539</v>
      </c>
      <c r="CP8" s="63">
        <f>((CO8*CO8)*(CN8*CN8))*(SIN(CM8))*(COS(CM8))</f>
        <v>0</v>
      </c>
      <c r="CQ8" s="63">
        <f>((((CI8*1852)/6399598.4)*(COS(CM8)))/2)+CJ8</f>
        <v>0.45480516874807703</v>
      </c>
      <c r="CR8" s="63">
        <f>((TAN((CQ8-CJ8)+CQ8))*CP8)*(TAN(CM8))</f>
        <v>0</v>
      </c>
      <c r="CS8" s="63">
        <f>ROUND((((((COS(CM8-(CP8/3)))*CN8)*(SQRT(CO8))*((CO8)))-(CR8/2))+CJ8),15)</f>
        <v>0.45480516874807703</v>
      </c>
      <c r="CT8" s="63">
        <f>ROUND(((CK8-((((SQRT((((COS(CS8))*(COS(CS8)))/148.38)+1))*CN8)*(SIN(CM8-(CP8/6))))/(COS((CR8/6)+CS8))))),15)</f>
        <v>1.39860791215351</v>
      </c>
      <c r="CU8" s="63">
        <f>ROUND((((((((((SQRT((((COS(CS8))*(COS(CS8)))/148.38)+1))*CN8)*(SIN(CM8-(CP8/6))))/(COS((CR8/6)+CR8)))*(SIN((CR8/3)+CR8)))-(CP8/2))-PI())+CM8)+(PI()+PI())),15)</f>
        <v>9.3200582056497208</v>
      </c>
      <c r="CV8" s="63">
        <f t="shared" si="3"/>
        <v>26.058416670000021</v>
      </c>
      <c r="CW8" s="63">
        <f t="shared" si="3"/>
        <v>80.134330559999924</v>
      </c>
      <c r="CX8" s="63">
        <f t="shared" si="4"/>
        <v>260330.30001199999</v>
      </c>
      <c r="CY8" s="63">
        <f t="shared" si="4"/>
        <v>800803.59001599997</v>
      </c>
    </row>
    <row r="9" spans="1:103" x14ac:dyDescent="0.25">
      <c r="A9" s="7"/>
      <c r="B9" s="54" t="s">
        <v>454</v>
      </c>
      <c r="C9" s="54"/>
      <c r="D9" s="54"/>
      <c r="E9" s="54"/>
      <c r="F9" s="113"/>
      <c r="G9" s="241" t="s">
        <v>745</v>
      </c>
      <c r="H9" s="242"/>
      <c r="I9" s="8"/>
      <c r="J9" s="238" t="s">
        <v>629</v>
      </c>
      <c r="K9" s="239"/>
      <c r="L9" s="239"/>
      <c r="M9" s="239"/>
      <c r="N9" s="239"/>
      <c r="O9" s="239"/>
      <c r="P9" s="239"/>
      <c r="Q9" s="239"/>
      <c r="R9" s="240"/>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9"/>
      <c r="CD9" s="62" t="s">
        <v>515</v>
      </c>
      <c r="CE9" s="63">
        <f t="shared" ref="CE9:CE53" si="7">COS(E16*PI()/180)*D16</f>
        <v>0</v>
      </c>
      <c r="CF9" s="63">
        <f t="shared" si="5"/>
        <v>260330.3</v>
      </c>
      <c r="CG9" s="63">
        <f t="shared" si="6"/>
        <v>800803.59</v>
      </c>
      <c r="CH9" s="63">
        <f t="shared" ref="CH9" si="8">IF($D$5="E",IF(C18+$C$5&gt;360,C18+$C$5-360,C18+$C$5),IF(C18-$C$5&lt;0,C18-$C$5+360,C18-$C$5))</f>
        <v>354</v>
      </c>
      <c r="CI9" s="63">
        <f t="shared" ref="CI9:CI53" si="9">ROUND((CE9/6076.115489),15)</f>
        <v>0</v>
      </c>
      <c r="CJ9" s="63">
        <f t="shared" ref="CJ9:CJ53" si="10">ROUND((((ROUND(((((((CF9)-((TRUNC(CF9/100))*100))/60)+(TRUNC(CF9/100))-((TRUNC(CF9/10000))*100))/60)+((TRUNC(CF9/10000))))*1000000,2))/1000000)*(PI()/180)),15)</f>
        <v>0.45480516874807703</v>
      </c>
      <c r="CK9" s="63">
        <f t="shared" ref="CK9:CK53" si="11">ROUND((((ROUND(((((((CG9)-((TRUNC(CG9/100))*100))/60)+(TRUNC(CG9/100))-((TRUNC(CG9/10000))*100))/60)+((TRUNC(CG9/10000))))*1000000,2))/1000000)*(PI()/180)),15)</f>
        <v>1.39860791215351</v>
      </c>
      <c r="CL9" s="63">
        <f t="shared" si="1"/>
        <v>354</v>
      </c>
      <c r="CM9" s="63">
        <f t="shared" si="2"/>
        <v>6.1784655520599303</v>
      </c>
      <c r="CN9" s="63">
        <f t="shared" ref="CN9:CN53" si="12">ROUND(((CI9*1852)/6399598.4),15)</f>
        <v>0</v>
      </c>
      <c r="CO9" s="63">
        <f t="shared" ref="CO9:CO53" si="13">ROUND(((((COS(((((CI9*1852)/6399598.4)*(COS(CM9)))/2)+CJ9))*(COS(((((CI9*1852)/6399598.4)*(COS(CM9)))/2)+CJ9)))/148.38)+1),15)</f>
        <v>1.00543891812539</v>
      </c>
      <c r="CP9" s="63">
        <f t="shared" ref="CP9:CP53" si="14">((CO9*CO9)*(CN9*CN9))*(SIN(CM9))*(COS(CM9))</f>
        <v>0</v>
      </c>
      <c r="CQ9" s="63">
        <f t="shared" ref="CQ9:CQ53" si="15">((((CI9*1852)/6399598.4)*(COS(CM9)))/2)+CJ9</f>
        <v>0.45480516874807703</v>
      </c>
      <c r="CR9" s="63">
        <f t="shared" ref="CR9:CR53" si="16">((TAN((CQ9-CJ9)+CQ9))*CP9)*(TAN(CM9))</f>
        <v>0</v>
      </c>
      <c r="CS9" s="63">
        <f t="shared" ref="CS9:CS53" si="17">ROUND((((((COS(CM9-(CP9/3)))*CN9)*(SQRT(CO9))*((CO9)))-(CR9/2))+CJ9),15)</f>
        <v>0.45480516874807703</v>
      </c>
      <c r="CT9" s="63">
        <f t="shared" ref="CT9:CT53" si="18">ROUND(((CK9-((((SQRT((((COS(CS9))*(COS(CS9)))/148.38)+1))*CN9)*(SIN(CM9-(CP9/6))))/(COS((CR9/6)+CS9))))),15)</f>
        <v>1.39860791215351</v>
      </c>
      <c r="CU9" s="63">
        <f t="shared" ref="CU9:CU53" si="19">ROUND((((((((((SQRT((((COS(CS9))*(COS(CS9)))/148.38)+1))*CN9)*(SIN(CM9-(CP9/6))))/(COS((CR9/6)+CR9)))*(SIN((CR9/3)+CR9)))-(CP9/2))-PI())+CM9)+(PI()+PI())),15)</f>
        <v>9.3200582056497208</v>
      </c>
      <c r="CV9" s="63">
        <f t="shared" ref="CV9:CV53" si="20">(CS9*(180/PI()))</f>
        <v>26.058416670000021</v>
      </c>
      <c r="CW9" s="63">
        <f t="shared" ref="CW9:CW53" si="21">(CT9*(180/PI()))</f>
        <v>80.134330559999924</v>
      </c>
      <c r="CX9" s="63">
        <f t="shared" ref="CX9:CX53" si="22">(ROUND((((((CV9-(TRUNC(CV9)))*0.6)*100)-(TRUNC(((CV9-(TRUNC(CV9)))*0.6)*100)))*0.006)+(TRUNC(CV9)+((TRUNC(((CV9-(TRUNC(CV9)))*0.6)*100))/100)),15))*10000</f>
        <v>260330.30001199999</v>
      </c>
      <c r="CY9" s="63">
        <f t="shared" ref="CY9:CY53" si="23">(ROUND((((((CW9-(TRUNC(CW9)))*0.6)*100)-(TRUNC(((CW9-(TRUNC(CW9)))*0.6)*100)))*0.006)+(TRUNC(CW9)+((TRUNC(((CW9-(TRUNC(CW9)))*0.6)*100))/100)),15))*10000</f>
        <v>800803.59001599997</v>
      </c>
    </row>
    <row r="10" spans="1:103" x14ac:dyDescent="0.25">
      <c r="A10" s="67" t="s">
        <v>502</v>
      </c>
      <c r="B10" s="64" t="s">
        <v>455</v>
      </c>
      <c r="C10" s="64" t="s">
        <v>503</v>
      </c>
      <c r="D10" s="64" t="s">
        <v>505</v>
      </c>
      <c r="E10" s="64" t="s">
        <v>506</v>
      </c>
      <c r="F10" s="111" t="s">
        <v>901</v>
      </c>
      <c r="G10" s="21" t="s">
        <v>508</v>
      </c>
      <c r="H10" s="21" t="s">
        <v>509</v>
      </c>
      <c r="I10" s="64" t="s">
        <v>901</v>
      </c>
      <c r="J10" s="75" t="s">
        <v>734</v>
      </c>
      <c r="K10" s="64" t="s">
        <v>735</v>
      </c>
      <c r="L10" s="64" t="s">
        <v>736</v>
      </c>
      <c r="M10" s="64" t="s">
        <v>737</v>
      </c>
      <c r="N10" s="64" t="s">
        <v>738</v>
      </c>
      <c r="O10" s="64" t="s">
        <v>739</v>
      </c>
      <c r="P10" s="64" t="s">
        <v>740</v>
      </c>
      <c r="Q10" s="64" t="s">
        <v>741</v>
      </c>
      <c r="R10" s="76" t="s">
        <v>742</v>
      </c>
      <c r="S10" s="8"/>
      <c r="T10" s="73" t="s">
        <v>264</v>
      </c>
      <c r="U10" s="65" t="s">
        <v>266</v>
      </c>
      <c r="V10" s="65" t="s">
        <v>456</v>
      </c>
      <c r="W10" s="78" t="s">
        <v>458</v>
      </c>
      <c r="X10" s="78" t="s">
        <v>457</v>
      </c>
      <c r="Y10" s="78" t="s">
        <v>617</v>
      </c>
      <c r="Z10" s="78" t="s">
        <v>459</v>
      </c>
      <c r="AA10" s="3" t="s">
        <v>619</v>
      </c>
      <c r="AB10" s="78" t="s">
        <v>461</v>
      </c>
      <c r="AC10" s="78" t="s">
        <v>620</v>
      </c>
      <c r="AD10" s="78" t="s">
        <v>623</v>
      </c>
      <c r="AE10" s="78" t="s">
        <v>618</v>
      </c>
      <c r="AF10" s="78" t="s">
        <v>460</v>
      </c>
      <c r="AG10" s="3" t="s">
        <v>621</v>
      </c>
      <c r="AH10" s="78" t="s">
        <v>622</v>
      </c>
      <c r="AI10" s="78" t="s">
        <v>620</v>
      </c>
      <c r="AJ10" s="78" t="s">
        <v>624</v>
      </c>
      <c r="AK10" s="78" t="s">
        <v>625</v>
      </c>
      <c r="AL10" s="78" t="s">
        <v>626</v>
      </c>
      <c r="AM10" s="78" t="s">
        <v>627</v>
      </c>
      <c r="AN10" s="78" t="s">
        <v>620</v>
      </c>
      <c r="AO10" s="78" t="s">
        <v>628</v>
      </c>
      <c r="AP10" s="65" t="s">
        <v>730</v>
      </c>
      <c r="AQ10" s="65" t="s">
        <v>731</v>
      </c>
      <c r="AR10" s="65" t="s">
        <v>617</v>
      </c>
      <c r="AS10" s="65" t="s">
        <v>459</v>
      </c>
      <c r="AT10" s="66" t="s">
        <v>619</v>
      </c>
      <c r="AU10" s="65" t="s">
        <v>461</v>
      </c>
      <c r="AV10" s="65" t="s">
        <v>620</v>
      </c>
      <c r="AW10" s="65" t="s">
        <v>623</v>
      </c>
      <c r="AX10" s="65" t="s">
        <v>618</v>
      </c>
      <c r="AY10" s="65" t="s">
        <v>460</v>
      </c>
      <c r="AZ10" s="66" t="s">
        <v>621</v>
      </c>
      <c r="BA10" s="65" t="s">
        <v>622</v>
      </c>
      <c r="BB10" s="65" t="s">
        <v>620</v>
      </c>
      <c r="BC10" s="65" t="s">
        <v>624</v>
      </c>
      <c r="BD10" s="65" t="s">
        <v>625</v>
      </c>
      <c r="BE10" s="65" t="s">
        <v>626</v>
      </c>
      <c r="BF10" s="65" t="s">
        <v>627</v>
      </c>
      <c r="BG10" s="65" t="s">
        <v>620</v>
      </c>
      <c r="BH10" s="65" t="s">
        <v>628</v>
      </c>
      <c r="BI10" s="78" t="s">
        <v>732</v>
      </c>
      <c r="BJ10" s="78" t="s">
        <v>733</v>
      </c>
      <c r="BK10" s="78" t="s">
        <v>617</v>
      </c>
      <c r="BL10" s="78" t="s">
        <v>459</v>
      </c>
      <c r="BM10" s="3" t="s">
        <v>619</v>
      </c>
      <c r="BN10" s="78" t="s">
        <v>461</v>
      </c>
      <c r="BO10" s="78" t="s">
        <v>620</v>
      </c>
      <c r="BP10" s="78" t="s">
        <v>623</v>
      </c>
      <c r="BQ10" s="78" t="s">
        <v>618</v>
      </c>
      <c r="BR10" s="78" t="s">
        <v>460</v>
      </c>
      <c r="BS10" s="3" t="s">
        <v>621</v>
      </c>
      <c r="BT10" s="78" t="s">
        <v>622</v>
      </c>
      <c r="BU10" s="78" t="s">
        <v>620</v>
      </c>
      <c r="BV10" s="78" t="s">
        <v>624</v>
      </c>
      <c r="BW10" s="78" t="s">
        <v>625</v>
      </c>
      <c r="BX10" s="78" t="s">
        <v>626</v>
      </c>
      <c r="BY10" s="78" t="s">
        <v>627</v>
      </c>
      <c r="BZ10" s="78" t="s">
        <v>620</v>
      </c>
      <c r="CA10" s="78" t="s">
        <v>628</v>
      </c>
      <c r="CB10" s="9"/>
      <c r="CC10" s="108" t="s">
        <v>900</v>
      </c>
      <c r="CD10" s="62" t="s">
        <v>516</v>
      </c>
      <c r="CE10" s="63">
        <f t="shared" si="7"/>
        <v>0</v>
      </c>
      <c r="CF10" s="63">
        <f t="shared" si="5"/>
        <v>260330.3</v>
      </c>
      <c r="CG10" s="63">
        <f t="shared" si="6"/>
        <v>800803.59</v>
      </c>
      <c r="CH10" s="63">
        <f t="shared" ref="CH10:CH53" si="24">IF($D$5="E",IF(C17+$C$5&gt;360,C17+$C$5-360,C17+$C$5),IF(C17-$C$5&lt;0,C17-$C$5+360,C17-$C$5))</f>
        <v>354</v>
      </c>
      <c r="CI10" s="63">
        <f t="shared" si="9"/>
        <v>0</v>
      </c>
      <c r="CJ10" s="63">
        <f t="shared" si="10"/>
        <v>0.45480516874807703</v>
      </c>
      <c r="CK10" s="63">
        <f t="shared" si="11"/>
        <v>1.39860791215351</v>
      </c>
      <c r="CL10" s="63">
        <f t="shared" ref="CL10:CL53" si="25">ROUND((((((CH10-(TRUNC(CH10)))*0.6)*100)-(TRUNC(((CH10-(TRUNC(CH10)))*0.6)*100)))*0.006)+(TRUNC(CH10)+((TRUNC(((CH10-(TRUNC(CH10)))*0.6)*100))/100)),15)</f>
        <v>354</v>
      </c>
      <c r="CM10" s="63">
        <f t="shared" ref="CM10:CM53" si="26">ROUND((CH10*(PI()/180)),15)</f>
        <v>6.1784655520599303</v>
      </c>
      <c r="CN10" s="63">
        <f t="shared" si="12"/>
        <v>0</v>
      </c>
      <c r="CO10" s="63">
        <f t="shared" si="13"/>
        <v>1.00543891812539</v>
      </c>
      <c r="CP10" s="63">
        <f t="shared" si="14"/>
        <v>0</v>
      </c>
      <c r="CQ10" s="63">
        <f t="shared" si="15"/>
        <v>0.45480516874807703</v>
      </c>
      <c r="CR10" s="63">
        <f t="shared" si="16"/>
        <v>0</v>
      </c>
      <c r="CS10" s="63">
        <f t="shared" si="17"/>
        <v>0.45480516874807703</v>
      </c>
      <c r="CT10" s="63">
        <f t="shared" si="18"/>
        <v>1.39860791215351</v>
      </c>
      <c r="CU10" s="63">
        <f t="shared" si="19"/>
        <v>9.3200582056497208</v>
      </c>
      <c r="CV10" s="63">
        <f t="shared" si="20"/>
        <v>26.058416670000021</v>
      </c>
      <c r="CW10" s="63">
        <f t="shared" si="21"/>
        <v>80.134330559999924</v>
      </c>
      <c r="CX10" s="63">
        <f t="shared" si="22"/>
        <v>260330.30001199999</v>
      </c>
      <c r="CY10" s="63">
        <f t="shared" si="23"/>
        <v>800803.59001599997</v>
      </c>
    </row>
    <row r="11" spans="1:103" x14ac:dyDescent="0.25">
      <c r="A11" s="67">
        <v>1</v>
      </c>
      <c r="B11" s="84" t="s">
        <v>909</v>
      </c>
      <c r="C11" s="84">
        <v>218</v>
      </c>
      <c r="D11" s="84">
        <v>195</v>
      </c>
      <c r="E11" s="84">
        <v>26.7</v>
      </c>
      <c r="F11" s="109">
        <f>IF(OR(C11="",D11="",E11=""),"",ROUND(V11/0.3048,2))</f>
        <v>92.62</v>
      </c>
      <c r="G11" s="84"/>
      <c r="H11" s="84"/>
      <c r="I11" s="85"/>
      <c r="J11" s="77" t="str">
        <f ca="1">AD11</f>
        <v>No</v>
      </c>
      <c r="K11" s="77" t="str">
        <f ca="1">AJ11</f>
        <v>No</v>
      </c>
      <c r="L11" s="77" t="str">
        <f ca="1">AO11</f>
        <v>No</v>
      </c>
      <c r="M11" s="79" t="str">
        <f ca="1">AW11</f>
        <v>No</v>
      </c>
      <c r="N11" s="79" t="str">
        <f ca="1">BC11</f>
        <v>No</v>
      </c>
      <c r="O11" s="79" t="str">
        <f ca="1">BH11</f>
        <v>Yes - 31.29 ft</v>
      </c>
      <c r="P11" s="77" t="str">
        <f>BP11</f>
        <v/>
      </c>
      <c r="Q11" s="77" t="str">
        <f>BV11</f>
        <v/>
      </c>
      <c r="R11" s="77" t="str">
        <f>CA11</f>
        <v/>
      </c>
      <c r="S11" s="8"/>
      <c r="T11" s="74">
        <f>IF(AND(G11="",H11="",I11=""),(0-CW4),(0-((TRUNC(H11/10000))+((((TRUNC(H11/100))-(TRUNC(H11/10000)*100))+((H11-(TRUNC(H11/100))*100)/60))/60))))</f>
        <v>-80.134611745962076</v>
      </c>
      <c r="U11" s="66">
        <f>IF(AND(G11="",H11="",I11=""),(CV4),((TRUNC(G11/10000))+((((TRUNC(G11/100))-(TRUNC(G11/10000)*100))+((G11-(TRUNC(G11/100))*100)/60))/60)))</f>
        <v>26.058010221195882</v>
      </c>
      <c r="V11" s="66">
        <f>IF(AND(G11="",H11="",I11=""),((5+(D11*SIN(E11*PI()/180)))*0.3048),(0.3048*I11))</f>
        <v>28.229724001734429</v>
      </c>
      <c r="W11" s="3">
        <f>IF(AND($C11="",$D11="",$E11="",$G11="",$H11="",$I11=""),"",$DF57)</f>
        <v>-92.316999999999993</v>
      </c>
      <c r="X11" s="3">
        <f>IF(AND($C11="",$D11="",$E11="",$G11="",$H11="",$I11=""),"",$ER57)</f>
        <v>147.73599999999999</v>
      </c>
      <c r="Y11" s="3" t="str">
        <f ca="1">IF(Data!$O$47/2+4000&lt;W11,"Beyond",IF(Data!$O$47/2&gt;W11,"Behind","Inside"))</f>
        <v>Behind</v>
      </c>
      <c r="Z11" s="20">
        <f ca="1">IF((TAN(Data!$AA$5*PI()/180)*W11)+(Data!$O$47/2)&lt;Data!$O$47/2,Data!$O$47/2,IF((TAN(Data!$AA$5*PI()/180)*W11)+(Data!$O$47/2)&gt;250,250,(TAN(Data!$AA$5*PI()/180)*W11)+(Data!$O$47/2)))</f>
        <v>34.552</v>
      </c>
      <c r="AA11" s="3" t="str">
        <f ca="1">IF(Y11="Inside",IF(X11&lt;Z11,"Yes","No"),"No")</f>
        <v>No</v>
      </c>
      <c r="AB11" s="20">
        <f ca="1">IF(((W11-(Data!$O$47/2))/8)&gt;0,((W11-(Data!$O$47/2))/8),0)</f>
        <v>0</v>
      </c>
      <c r="AC11" s="20">
        <f ca="1">$V11/0.3048-AB11</f>
        <v>92.617204730099829</v>
      </c>
      <c r="AD11" s="3" t="str">
        <f ca="1">IF(Data!$D$29="","",IF(AND($C11="",$D11="",$E11="",$G11="",$H11="",$I11=""),"",IF(AND(Y11="Inside",AA11="Yes",AC11&gt;0),"Yes - "&amp;ROUND(AC11,2)&amp;" ft","No")))</f>
        <v>No</v>
      </c>
      <c r="AE11" s="3" t="str">
        <f ca="1">IF(Data!$O$47/2+2000&lt;W11,"Beyond",IF(Data!$O$47/2&gt;W11,"Behind","Inside"))</f>
        <v>Behind</v>
      </c>
      <c r="AF11" s="20">
        <f ca="1">(TAN(Data!$AA$12*PI()/180)*W11)+(Data!$O$47/2)</f>
        <v>24.963771745999999</v>
      </c>
      <c r="AG11" s="3" t="str">
        <f ca="1">IF(AND(AE11="Inside",X11&lt;AF11,X11&gt;Z11),"Yes","No")</f>
        <v>No</v>
      </c>
      <c r="AH11" s="20">
        <f ca="1">AB11</f>
        <v>0</v>
      </c>
      <c r="AI11" s="20">
        <f ca="1">$V11/0.3048-AB11</f>
        <v>92.617204730099829</v>
      </c>
      <c r="AJ11" s="3" t="str">
        <f ca="1">IF(Data!$D$29="","",IF(AND($C11="",$D11="",$E11="",$G11="",$H11="",$I11=""),"",IF(AND(AE11="Inside",AG11="Yes",AI11&gt;0),"Yes - "&amp;ROUND(AI11,2)&amp;" ft","No")))</f>
        <v>No</v>
      </c>
      <c r="AK11" s="3" t="str">
        <f ca="1">IF(0-Data!$O$47/2&gt;W11,"Behind",IF(Data!$O$47/2+4000&lt;W11,"Beyond","Inside"))</f>
        <v>Behind</v>
      </c>
      <c r="AL11" s="3" t="str">
        <f ca="1">IF(AND(AK11="Inside",X11&gt;Z11,X11&lt;250.000001),"Yes","No")</f>
        <v>No</v>
      </c>
      <c r="AM11" s="20">
        <f ca="1">IF(X11&gt;250,250/2+AB11,((X11-Z11)/2)+AB11)</f>
        <v>56.591999999999999</v>
      </c>
      <c r="AN11" s="20">
        <f ca="1">$V11/0.3048-AM11</f>
        <v>36.02520473009983</v>
      </c>
      <c r="AO11" s="3" t="str">
        <f ca="1">IF(Data!$D$29="","",IF(AND($C11="",$D11="",$E11="",$G11="",$H11="",$I11=""),"",IF(AND(AK11="Inside",AL11="Yes",AN11&gt;0),"Yes - "&amp;ROUND(AN11,2)&amp;" ft","No")))</f>
        <v>No</v>
      </c>
      <c r="AP11" s="72">
        <f>IF(AND($C11="",$D11="",$E11="",$G11="",$H11="",$I11=""),"",$DF107)</f>
        <v>92.316999999999993</v>
      </c>
      <c r="AQ11" s="72">
        <f>IF(AND($C11="",$D11="",$E11="",$G11="",$H11="",$I11=""),"",$ER107)</f>
        <v>147.73599999999999</v>
      </c>
      <c r="AR11" s="72" t="str">
        <f ca="1">IF(Data!$O$47/2+4000&lt;AP11,"Beyond",IF(Data!$O$47/2&gt;AP11,"Behind","Inside"))</f>
        <v>Inside</v>
      </c>
      <c r="AS11" s="72">
        <f ca="1">IF((TAN(Data!$AA$5*PI()/180)*AP11)+(Data!$O$47/2)&lt;Data!$O$47/2,Data!$O$47/2,IF((TAN(Data!$AA$5*PI()/180)*AP11)+(Data!$O$47/2)&gt;250,250,(TAN(Data!$AA$5*PI()/180)*AP11)+(Data!$O$47/2)))</f>
        <v>39.524378253999998</v>
      </c>
      <c r="AT11" s="72" t="str">
        <f ca="1">IF(AR11="Inside",IF(AQ11&lt;AS11,"Yes","No"),"No")</f>
        <v>No</v>
      </c>
      <c r="AU11" s="72">
        <f ca="1">IF(((AP11-(Data!$O$47/2))/8)&gt;0,((AP11-(Data!$O$47/2))/8),0)</f>
        <v>7.2206249999999992</v>
      </c>
      <c r="AV11" s="72">
        <f ca="1">$V11/0.3048-AU11</f>
        <v>85.39657973009983</v>
      </c>
      <c r="AW11" s="72" t="str">
        <f ca="1">IF(Data!$D$30="","",IF(AND($C11="",$D11="",$E11="",$G11="",$H11="",$I11=""),"",IF(AND(AR11="Inside",AT11="Yes",AV11&gt;0),"Yes - "&amp;ROUND(AV11,2)&amp;" ft","No")))</f>
        <v>No</v>
      </c>
      <c r="AX11" s="72" t="str">
        <f ca="1">IF(Data!$O$47/2+2000&lt;AP11,"Beyond",IF(Data!$O$47/2&gt;AP11,"Behind","Inside"))</f>
        <v>Inside</v>
      </c>
      <c r="AY11" s="72">
        <f ca="1">(TAN(Data!$AA$12*PI()/180)*AP11)+(Data!$O$47/2)</f>
        <v>44.140228254</v>
      </c>
      <c r="AZ11" s="72" t="str">
        <f ca="1">IF(AND(AX11="Inside",AQ11&lt;AY11,AQ11&gt;AS11),"Yes","No")</f>
        <v>No</v>
      </c>
      <c r="BA11" s="72">
        <f ca="1">AU11</f>
        <v>7.2206249999999992</v>
      </c>
      <c r="BB11" s="72">
        <f ca="1">$V11/0.3048-AU11</f>
        <v>85.39657973009983</v>
      </c>
      <c r="BC11" s="72" t="str">
        <f ca="1">IF(Data!$D$30="","",IF(AND($C11="",$D11="",$E11="",$G11="",$H11="",$I11=""),"",IF(AND(AX11="Inside",AZ11="Yes",BB11&gt;0),"Yes - "&amp;ROUND(BB11,2)&amp;" ft","No")))</f>
        <v>No</v>
      </c>
      <c r="BD11" s="72" t="str">
        <f ca="1">IF(0-Data!$O$47/2&gt;AP11,"Behind",IF(Data!$O$47/2+4000&lt;AP11,"Beyond","Inside"))</f>
        <v>Inside</v>
      </c>
      <c r="BE11" s="72" t="str">
        <f ca="1">IF(AND(BD11="Inside",AQ11&gt;AS11,AQ11&lt;250.000001),"Yes","No")</f>
        <v>Yes</v>
      </c>
      <c r="BF11" s="72">
        <f ca="1">IF(AQ11&gt;250,250/2+AU11,((AQ11-AS11)/2)+AU11)</f>
        <v>61.326435872999994</v>
      </c>
      <c r="BG11" s="72">
        <f ca="1">$V11/0.3048-BF11</f>
        <v>31.290768857099835</v>
      </c>
      <c r="BH11" s="72" t="str">
        <f ca="1">IF(Data!$D$30="","",IF(AND($C11="",$D11="",$E11="",$G11="",$H11="",$I11=""),"",IF(AND(BD11="Inside",BE11="Yes",BG11&gt;0),"Yes - "&amp;ROUND(BG11,2)&amp;" ft","No")))</f>
        <v>Yes - 31.29 ft</v>
      </c>
      <c r="BI11" s="3">
        <f>IF(AND($C11="",$D11="",$E11="",$G11="",$H11="",$I11=""),"",$DF157)</f>
        <v>-147.73599999999999</v>
      </c>
      <c r="BJ11" s="3">
        <f>IF(AND($C11="",$D11="",$E11="",$G11="",$H11="",$I11=""),"",$ER157)</f>
        <v>92.32</v>
      </c>
      <c r="BK11" s="3" t="str">
        <f ca="1">IF(Data!$O$47/2+4000&lt;BI11,"Beyond",IF(Data!$O$47/2&gt;BI11,"Behind","Inside"))</f>
        <v>Behind</v>
      </c>
      <c r="BL11" s="20">
        <f ca="1">IF((TAN(Data!$AA$5*PI()/180)*BI11)+(Data!$O$47/2)&lt;Data!$O$47/2,Data!$O$47/2,IF((TAN(Data!$AA$5*PI()/180)*BI11)+(Data!$O$47/2)&gt;250,250,(TAN(Data!$AA$5*PI()/180)*BI11)+(Data!$O$47/2)))</f>
        <v>34.552</v>
      </c>
      <c r="BM11" s="3" t="str">
        <f ca="1">IF(BK11="Inside",IF(BJ11&lt;BL11,"Yes","No"),"No")</f>
        <v>No</v>
      </c>
      <c r="BN11" s="20">
        <f ca="1">IF(((BI11-(Data!$O$47/2))/8)&gt;0,((BI11-(Data!$O$47/2))/8),0)</f>
        <v>0</v>
      </c>
      <c r="BO11" s="20">
        <f ca="1">$V11/0.3048-BN11</f>
        <v>92.617204730099829</v>
      </c>
      <c r="BP11" s="3" t="str">
        <f>IF(Data!$D$31="","",IF(AND($C11="",$D11="",$E11="",$G11="",$H11="",$I11=""),"",IF(AND(BK11="Inside",BM11="Yes",BO11&gt;0),"Yes - "&amp;ROUND(BO11,2)&amp;" ft","No")))</f>
        <v/>
      </c>
      <c r="BQ11" s="3" t="str">
        <f ca="1">IF(Data!$O$47/2+2000&lt;BI11,"Beyond",IF(Data!$O$47/2&gt;BI11,"Behind","Inside"))</f>
        <v>Behind</v>
      </c>
      <c r="BR11" s="20">
        <f ca="1">(TAN(Data!$AA$12*PI()/180)*BI11)+(Data!$O$47/2)</f>
        <v>19.207843567999998</v>
      </c>
      <c r="BS11" s="3" t="str">
        <f ca="1">IF(AND(BQ11="Inside",BJ11&lt;BR11,BJ11&gt;BL11),"Yes","No")</f>
        <v>No</v>
      </c>
      <c r="BT11" s="20">
        <f ca="1">BN11</f>
        <v>0</v>
      </c>
      <c r="BU11" s="20">
        <f ca="1">$V11/0.3048-BN11</f>
        <v>92.617204730099829</v>
      </c>
      <c r="BV11" s="3" t="str">
        <f>IF(Data!$D$31="","",IF(AND($C11="",$D11="",$E11="",$G11="",$H11="",$I11=""),"",IF(AND(BQ11="Inside",BS11="Yes",BU11&gt;0),"Yes - "&amp;ROUND(BU11,2)&amp;" ft","No")))</f>
        <v/>
      </c>
      <c r="BW11" s="3" t="str">
        <f ca="1">IF(0-Data!$O$47/2&gt;BI11,"Behind",IF(Data!$O$47/2+4000&lt;BI11,"Beyond","Inside"))</f>
        <v>Behind</v>
      </c>
      <c r="BX11" s="3" t="str">
        <f ca="1">IF(AND(BW11="Inside",BJ11&gt;BL11,BJ11&lt;250.000001),"Yes","No")</f>
        <v>No</v>
      </c>
      <c r="BY11" s="20">
        <f ca="1">IF(BJ11&gt;250,250/2+BN11,((BJ11-BL11)/2)+BN11)</f>
        <v>28.883999999999997</v>
      </c>
      <c r="BZ11" s="20">
        <f ca="1">$V11/0.3048-BY11</f>
        <v>63.733204730099828</v>
      </c>
      <c r="CA11" s="3" t="str">
        <f>IF(Data!$D$31="","",IF(AND($C11="",$D11="",$E11="",$G11="",$H11="",$I11=""),"",IF(AND(BW11="Inside",BX11="Yes",BZ11&gt;0),"Yes - "&amp;ROUND(BZ11,2)&amp;" ft","No")))</f>
        <v/>
      </c>
      <c r="CB11" s="9"/>
      <c r="CC11" t="str">
        <f ca="1">IF(OR(LEFT(AD11,3)="Yes",LEFT(AJ11,3)="Yes",LEFT(AO11,3)="Yes",LEFT(AW11,3)="Yes",LEFT(BC11,3)="Yes",LEFT(BH11,3)="Yes",LEFT(BP11,3)="Yes",LEFT(BV11,3)="Yes",LEFT(CA11,3)="Yes"),"Yes","No")</f>
        <v>Yes</v>
      </c>
      <c r="CD11" s="62" t="s">
        <v>517</v>
      </c>
      <c r="CE11" s="63">
        <f t="shared" si="7"/>
        <v>0</v>
      </c>
      <c r="CF11" s="63">
        <f t="shared" si="5"/>
        <v>260330.3</v>
      </c>
      <c r="CG11" s="63">
        <f t="shared" si="6"/>
        <v>800803.59</v>
      </c>
      <c r="CH11" s="63">
        <f t="shared" si="24"/>
        <v>354</v>
      </c>
      <c r="CI11" s="63">
        <f t="shared" si="9"/>
        <v>0</v>
      </c>
      <c r="CJ11" s="63">
        <f t="shared" si="10"/>
        <v>0.45480516874807703</v>
      </c>
      <c r="CK11" s="63">
        <f t="shared" si="11"/>
        <v>1.39860791215351</v>
      </c>
      <c r="CL11" s="63">
        <f t="shared" si="25"/>
        <v>354</v>
      </c>
      <c r="CM11" s="63">
        <f t="shared" si="26"/>
        <v>6.1784655520599303</v>
      </c>
      <c r="CN11" s="63">
        <f t="shared" si="12"/>
        <v>0</v>
      </c>
      <c r="CO11" s="63">
        <f t="shared" si="13"/>
        <v>1.00543891812539</v>
      </c>
      <c r="CP11" s="63">
        <f t="shared" si="14"/>
        <v>0</v>
      </c>
      <c r="CQ11" s="63">
        <f t="shared" si="15"/>
        <v>0.45480516874807703</v>
      </c>
      <c r="CR11" s="63">
        <f t="shared" si="16"/>
        <v>0</v>
      </c>
      <c r="CS11" s="63">
        <f t="shared" si="17"/>
        <v>0.45480516874807703</v>
      </c>
      <c r="CT11" s="63">
        <f t="shared" si="18"/>
        <v>1.39860791215351</v>
      </c>
      <c r="CU11" s="63">
        <f t="shared" si="19"/>
        <v>9.3200582056497208</v>
      </c>
      <c r="CV11" s="63">
        <f t="shared" si="20"/>
        <v>26.058416670000021</v>
      </c>
      <c r="CW11" s="63">
        <f t="shared" si="21"/>
        <v>80.134330559999924</v>
      </c>
      <c r="CX11" s="63">
        <f t="shared" si="22"/>
        <v>260330.30001199999</v>
      </c>
      <c r="CY11" s="63">
        <f t="shared" si="23"/>
        <v>800803.59001599997</v>
      </c>
    </row>
    <row r="12" spans="1:103" x14ac:dyDescent="0.25">
      <c r="A12" s="67">
        <v>2</v>
      </c>
      <c r="B12" s="84"/>
      <c r="C12" s="84"/>
      <c r="D12" s="84"/>
      <c r="E12" s="84"/>
      <c r="F12" s="109" t="str">
        <f t="shared" ref="F12:F60" si="27">IF(OR(C12="",D12="",E12=""),"",ROUND(V12/0.3048,2))</f>
        <v/>
      </c>
      <c r="G12" s="81"/>
      <c r="H12" s="81"/>
      <c r="I12" s="85"/>
      <c r="J12" s="77" t="str">
        <f t="shared" ref="J12:J60" si="28">AD12</f>
        <v/>
      </c>
      <c r="K12" s="77" t="str">
        <f t="shared" ref="K12:K60" si="29">AJ12</f>
        <v/>
      </c>
      <c r="L12" s="77" t="str">
        <f t="shared" ref="L12:L60" si="30">AO12</f>
        <v/>
      </c>
      <c r="M12" s="79" t="str">
        <f t="shared" ref="M12:M60" si="31">AW12</f>
        <v/>
      </c>
      <c r="N12" s="79" t="str">
        <f t="shared" ref="N12:N60" si="32">BC12</f>
        <v/>
      </c>
      <c r="O12" s="79" t="str">
        <f t="shared" ref="O12:O60" si="33">BH12</f>
        <v/>
      </c>
      <c r="P12" s="77" t="str">
        <f t="shared" ref="P12:P60" si="34">BP12</f>
        <v/>
      </c>
      <c r="Q12" s="77" t="str">
        <f t="shared" ref="Q12:Q60" si="35">BV12</f>
        <v/>
      </c>
      <c r="R12" s="77" t="str">
        <f t="shared" ref="R12:R60" si="36">CA12</f>
        <v/>
      </c>
      <c r="S12" s="8"/>
      <c r="T12" s="74">
        <f t="shared" ref="T12:T60" si="37">IF(AND(G12="",H12="",I12=""),(0-CW5),(0-((TRUNC(H12/10000))+((((TRUNC(H12/100))-(TRUNC(H12/10000)*100))+((H12-(TRUNC(H12/100))*100)/60))/60))))</f>
        <v>-80.134330559999924</v>
      </c>
      <c r="U12" s="66">
        <f t="shared" ref="U12:U60" si="38">IF(AND(G12="",H12="",I12=""),(CV5),((TRUNC(G12/10000))+((((TRUNC(G12/100))-(TRUNC(G12/10000)*100))+((G12-(TRUNC(G12/100))*100)/60))/60)))</f>
        <v>26.058416670000021</v>
      </c>
      <c r="V12" s="66">
        <f t="shared" ref="V12:V60" si="39">IF(AND(G12="",H12="",I12=""),((5+(D12*SIN(E12*PI()/180)))*0.3048),(0.3048*I12))</f>
        <v>1.524</v>
      </c>
      <c r="W12" s="3" t="str">
        <f t="shared" ref="W12:W60" si="40">IF(AND($C12="",$D12="",$E12="",$G12="",$H12="",$I12=""),"",$DF58)</f>
        <v/>
      </c>
      <c r="X12" s="3" t="str">
        <f t="shared" ref="X12:X60" si="41">IF(AND($C12="",$D12="",$E12="",$G12="",$H12="",$I12=""),"",$ER58)</f>
        <v/>
      </c>
      <c r="Y12" s="3" t="str">
        <f ca="1">IF(Data!$O$47/2+4000&lt;W12,"Beyond",IF(Data!$O$47/2&gt;W12,"Behind","Inside"))</f>
        <v>Beyond</v>
      </c>
      <c r="Z12" s="20" t="e">
        <f ca="1">IF((TAN(Data!$AA$5*PI()/180)*W12)+(Data!$O$47/2)&lt;Data!$O$47/2,Data!$O$47/2,IF((TAN(Data!$AA$5*PI()/180)*W12)+(Data!$O$47/2)&gt;250,250,(TAN(Data!$AA$5*PI()/180)*W12)+(Data!$O$47/2)))</f>
        <v>#VALUE!</v>
      </c>
      <c r="AA12" s="3" t="str">
        <f t="shared" ref="AA12:AA60" ca="1" si="42">IF(Y12="Inside",IF(X12&lt;Z12,"Yes","No"),"No")</f>
        <v>No</v>
      </c>
      <c r="AB12" s="20" t="e">
        <f ca="1">IF(((W12-(Data!$O$47/2))/8)&gt;0,((W12-(Data!$O$47/2))/8),0)</f>
        <v>#VALUE!</v>
      </c>
      <c r="AC12" s="20" t="e">
        <f t="shared" ref="AC12:AC60" ca="1" si="43">$V12/0.3048-AB12</f>
        <v>#VALUE!</v>
      </c>
      <c r="AD12" s="3" t="str">
        <f>IF(Data!$D$29="","",IF(AND($C12="",$D12="",$E12="",$G12="",$H12="",$I12=""),"",IF(AND(Y12="Inside",AA12="Yes",AC12&gt;0),"Yes - "&amp;ROUND(AC12,2)&amp;" ft","No")))</f>
        <v/>
      </c>
      <c r="AE12" s="3" t="str">
        <f ca="1">IF(Data!$O$47/2+2000&lt;W12,"Beyond",IF(Data!$O$47/2&gt;W12,"Behind","Inside"))</f>
        <v>Beyond</v>
      </c>
      <c r="AF12" s="20" t="e">
        <f ca="1">(TAN(Data!$AA$12*PI()/180)*W12)+(Data!$O$47/2)</f>
        <v>#VALUE!</v>
      </c>
      <c r="AG12" s="3" t="e">
        <f t="shared" ref="AG12:AG60" ca="1" si="44">IF(AND(AE12="Inside",X12&lt;AF12,X12&gt;Z12),"Yes","No")</f>
        <v>#VALUE!</v>
      </c>
      <c r="AH12" s="20" t="e">
        <f t="shared" ref="AH12:AH60" ca="1" si="45">AB12</f>
        <v>#VALUE!</v>
      </c>
      <c r="AI12" s="20" t="e">
        <f t="shared" ref="AI12:AI60" ca="1" si="46">$V12/0.3048-AB12</f>
        <v>#VALUE!</v>
      </c>
      <c r="AJ12" s="3" t="str">
        <f>IF(Data!$D$29="","",IF(AND($C12="",$D12="",$E12="",$G12="",$H12="",$I12=""),"",IF(AND(AE12="Inside",AG12="Yes",AI12&gt;0),"Yes - "&amp;ROUND(AI12,2)&amp;" ft","No")))</f>
        <v/>
      </c>
      <c r="AK12" s="3" t="str">
        <f ca="1">IF(0-Data!$O$47/2&gt;W12,"Behind",IF(Data!$O$47/2+4000&lt;W12,"Beyond","Inside"))</f>
        <v>Beyond</v>
      </c>
      <c r="AL12" s="3" t="e">
        <f t="shared" ref="AL12:AL60" ca="1" si="47">IF(AND(AK12="Inside",X12&gt;Z12,X12&lt;250.000001),"Yes","No")</f>
        <v>#VALUE!</v>
      </c>
      <c r="AM12" s="20" t="e">
        <f t="shared" ref="AM12:AM60" ca="1" si="48">IF(X12&gt;250,250/2+AB12,((X12-Z12)/2)+AB12)</f>
        <v>#VALUE!</v>
      </c>
      <c r="AN12" s="20" t="e">
        <f t="shared" ref="AN12:AN60" ca="1" si="49">$V12/0.3048-AM12</f>
        <v>#VALUE!</v>
      </c>
      <c r="AO12" s="3" t="str">
        <f>IF(Data!$D$29="","",IF(AND($C12="",$D12="",$E12="",$G12="",$H12="",$I12=""),"",IF(AND(AK12="Inside",AL12="Yes",AN12&gt;0),"Yes - "&amp;ROUND(AN12,2)&amp;" ft","No")))</f>
        <v/>
      </c>
      <c r="AP12" s="72" t="str">
        <f t="shared" ref="AP12:AP60" si="50">IF(AND($C12="",$D12="",$E12="",$G12="",$H12="",$I12=""),"",$DF108)</f>
        <v/>
      </c>
      <c r="AQ12" s="72" t="str">
        <f t="shared" ref="AQ12:AQ60" si="51">IF(AND($C12="",$D12="",$E12="",$G12="",$H12="",$I12=""),"",$ER108)</f>
        <v/>
      </c>
      <c r="AR12" s="72" t="str">
        <f ca="1">IF(Data!$O$47/2+4000&lt;AP12,"Beyond",IF(Data!$O$47/2&gt;AP12,"Behind","Inside"))</f>
        <v>Beyond</v>
      </c>
      <c r="AS12" s="72" t="e">
        <f ca="1">IF((TAN(Data!$AA$5*PI()/180)*AP12)+(Data!$O$47/2)&lt;Data!$O$47/2,Data!$O$47/2,IF((TAN(Data!$AA$5*PI()/180)*AP12)+(Data!$O$47/2)&gt;250,250,(TAN(Data!$AA$5*PI()/180)*AP12)+(Data!$O$47/2)))</f>
        <v>#VALUE!</v>
      </c>
      <c r="AT12" s="72" t="str">
        <f t="shared" ref="AT12:AT60" ca="1" si="52">IF(AR12="Inside",IF(AQ12&lt;AS12,"Yes","No"),"No")</f>
        <v>No</v>
      </c>
      <c r="AU12" s="72" t="e">
        <f ca="1">IF(((AP12-(Data!$O$47/2))/8)&gt;0,((AP12-(Data!$O$47/2))/8),0)</f>
        <v>#VALUE!</v>
      </c>
      <c r="AV12" s="72" t="e">
        <f t="shared" ref="AV12:AV60" ca="1" si="53">$V12/0.3048-AU12</f>
        <v>#VALUE!</v>
      </c>
      <c r="AW12" s="72" t="str">
        <f>IF(Data!$D$30="","",IF(AND($C12="",$D12="",$E12="",$G12="",$H12="",$I12=""),"",IF(AND(AR12="Inside",AT12="Yes",AV12&gt;0),"Yes - "&amp;ROUND(AV12,2)&amp;" ft","No")))</f>
        <v/>
      </c>
      <c r="AX12" s="72" t="str">
        <f ca="1">IF(Data!$O$47/2+2000&lt;AP12,"Beyond",IF(Data!$O$47/2&gt;AP12,"Behind","Inside"))</f>
        <v>Beyond</v>
      </c>
      <c r="AY12" s="72" t="e">
        <f ca="1">(TAN(Data!$AA$12*PI()/180)*AP12)+(Data!$O$47/2)</f>
        <v>#VALUE!</v>
      </c>
      <c r="AZ12" s="72" t="e">
        <f t="shared" ref="AZ12:AZ60" ca="1" si="54">IF(AND(AX12="Inside",AQ12&lt;AY12,AQ12&gt;AS12),"Yes","No")</f>
        <v>#VALUE!</v>
      </c>
      <c r="BA12" s="72" t="e">
        <f t="shared" ref="BA12:BA60" ca="1" si="55">AU12</f>
        <v>#VALUE!</v>
      </c>
      <c r="BB12" s="72" t="e">
        <f t="shared" ref="BB12:BB60" ca="1" si="56">$V12/0.3048-AU12</f>
        <v>#VALUE!</v>
      </c>
      <c r="BC12" s="72" t="str">
        <f>IF(Data!$D$30="","",IF(AND($C12="",$D12="",$E12="",$G12="",$H12="",$I12=""),"",IF(AND(AX12="Inside",AZ12="Yes",BB12&gt;0),"Yes - "&amp;ROUND(BB12,2)&amp;" ft","No")))</f>
        <v/>
      </c>
      <c r="BD12" s="72" t="str">
        <f ca="1">IF(0-Data!$O$47/2&gt;AP12,"Behind",IF(Data!$O$47/2+4000&lt;AP12,"Beyond","Inside"))</f>
        <v>Beyond</v>
      </c>
      <c r="BE12" s="72" t="e">
        <f t="shared" ref="BE12:BE60" ca="1" si="57">IF(AND(BD12="Inside",AQ12&gt;AS12,AQ12&lt;250.000001),"Yes","No")</f>
        <v>#VALUE!</v>
      </c>
      <c r="BF12" s="72" t="e">
        <f t="shared" ref="BF12:BF60" ca="1" si="58">IF(AQ12&gt;250,250/2+AU12,((AQ12-AS12)/2)+AU12)</f>
        <v>#VALUE!</v>
      </c>
      <c r="BG12" s="72" t="e">
        <f t="shared" ref="BG12:BG60" ca="1" si="59">$V12/0.3048-BF12</f>
        <v>#VALUE!</v>
      </c>
      <c r="BH12" s="72" t="str">
        <f>IF(Data!$D$30="","",IF(AND($C12="",$D12="",$E12="",$G12="",$H12="",$I12=""),"",IF(AND(BD12="Inside",BE12="Yes",BG12&gt;0),"Yes - "&amp;ROUND(BG12,2)&amp;" ft","No")))</f>
        <v/>
      </c>
      <c r="BI12" s="3" t="str">
        <f t="shared" ref="BI12:BI60" si="60">IF(AND($C12="",$D12="",$E12="",$G12="",$H12="",$I12=""),"",$DF158)</f>
        <v/>
      </c>
      <c r="BJ12" s="3" t="str">
        <f t="shared" ref="BJ12:BJ60" si="61">IF(AND($C12="",$D12="",$E12="",$G12="",$H12="",$I12=""),"",$ER158)</f>
        <v/>
      </c>
      <c r="BK12" s="3" t="str">
        <f ca="1">IF(Data!$O$47/2+4000&lt;BI12,"Beyond",IF(Data!$O$47/2&gt;BI12,"Behind","Inside"))</f>
        <v>Beyond</v>
      </c>
      <c r="BL12" s="20" t="e">
        <f ca="1">IF((TAN(Data!$AA$5*PI()/180)*BI12)+(Data!$O$47/2)&lt;Data!$O$47/2,Data!$O$47/2,IF((TAN(Data!$AA$5*PI()/180)*BI12)+(Data!$O$47/2)&gt;250,250,(TAN(Data!$AA$5*PI()/180)*BI12)+(Data!$O$47/2)))</f>
        <v>#VALUE!</v>
      </c>
      <c r="BM12" s="3" t="str">
        <f t="shared" ref="BM12:BM60" ca="1" si="62">IF(BK12="Inside",IF(BJ12&lt;BL12,"Yes","No"),"No")</f>
        <v>No</v>
      </c>
      <c r="BN12" s="20" t="e">
        <f ca="1">IF(((BI12-(Data!$O$47/2))/8)&gt;0,((BI12-(Data!$O$47/2))/8),0)</f>
        <v>#VALUE!</v>
      </c>
      <c r="BO12" s="20" t="e">
        <f t="shared" ref="BO12:BO60" ca="1" si="63">$V12/0.3048-BN12</f>
        <v>#VALUE!</v>
      </c>
      <c r="BP12" s="3" t="str">
        <f>IF(Data!$D$31="","",IF(AND($C12="",$D12="",$E12="",$G12="",$H12="",$I12=""),"",IF(AND(BK12="Inside",BM12="Yes",BO12&gt;0),"Yes - "&amp;ROUND(BO12,2)&amp;" ft","No")))</f>
        <v/>
      </c>
      <c r="BQ12" s="3" t="str">
        <f ca="1">IF(Data!$O$47/2+2000&lt;BI12,"Beyond",IF(Data!$O$47/2&gt;BI12,"Behind","Inside"))</f>
        <v>Beyond</v>
      </c>
      <c r="BR12" s="20" t="e">
        <f ca="1">(TAN(Data!$AA$12*PI()/180)*BI12)+(Data!$O$47/2)</f>
        <v>#VALUE!</v>
      </c>
      <c r="BS12" s="3" t="e">
        <f t="shared" ref="BS12:BS60" ca="1" si="64">IF(AND(BQ12="Inside",BJ12&lt;BR12,BJ12&gt;BL12),"Yes","No")</f>
        <v>#VALUE!</v>
      </c>
      <c r="BT12" s="20" t="e">
        <f t="shared" ref="BT12:BT60" ca="1" si="65">BN12</f>
        <v>#VALUE!</v>
      </c>
      <c r="BU12" s="20" t="e">
        <f t="shared" ref="BU12:BU60" ca="1" si="66">$V12/0.3048-BN12</f>
        <v>#VALUE!</v>
      </c>
      <c r="BV12" s="3" t="str">
        <f>IF(Data!$D$31="","",IF(AND($C12="",$D12="",$E12="",$G12="",$H12="",$I12=""),"",IF(AND(BQ12="Inside",BS12="Yes",BU12&gt;0),"Yes - "&amp;ROUND(BU12,2)&amp;" ft","No")))</f>
        <v/>
      </c>
      <c r="BW12" s="3" t="str">
        <f ca="1">IF(0-Data!$O$47/2&gt;BI12,"Behind",IF(Data!$O$47/2+4000&lt;BI12,"Beyond","Inside"))</f>
        <v>Beyond</v>
      </c>
      <c r="BX12" s="3" t="e">
        <f t="shared" ref="BX12:BX60" ca="1" si="67">IF(AND(BW12="Inside",BJ12&gt;BL12,BJ12&lt;250.000001),"Yes","No")</f>
        <v>#VALUE!</v>
      </c>
      <c r="BY12" s="20" t="e">
        <f t="shared" ref="BY12:BY60" ca="1" si="68">IF(BJ12&gt;250,250/2+BN12,((BJ12-BL12)/2)+BN12)</f>
        <v>#VALUE!</v>
      </c>
      <c r="BZ12" s="20" t="e">
        <f t="shared" ref="BZ12:BZ60" ca="1" si="69">$V12/0.3048-BY12</f>
        <v>#VALUE!</v>
      </c>
      <c r="CA12" s="3" t="str">
        <f>IF(Data!$D$31="","",IF(AND($C12="",$D12="",$E12="",$G12="",$H12="",$I12=""),"",IF(AND(BW12="Inside",BX12="Yes",BZ12&gt;0),"Yes - "&amp;ROUND(BZ12,2)&amp;" ft","No")))</f>
        <v/>
      </c>
      <c r="CB12" s="9"/>
      <c r="CC12" t="str">
        <f t="shared" ref="CC12:CC60" si="70">IF(OR(LEFT(AD12,3)="Yes",LEFT(AJ12,3)="Yes",LEFT(AO12,3)="Yes",LEFT(AW12,3)="Yes",LEFT(BC12,3)="Yes",LEFT(BH12,3)="Yes",LEFT(BP12,3)="Yes",LEFT(BV12,3)="Yes",LEFT(CA12,3)="Yes"),"Yes","No")</f>
        <v>No</v>
      </c>
      <c r="CD12" s="62" t="s">
        <v>518</v>
      </c>
      <c r="CE12" s="63">
        <f t="shared" si="7"/>
        <v>0</v>
      </c>
      <c r="CF12" s="63">
        <f t="shared" si="5"/>
        <v>260330.3</v>
      </c>
      <c r="CG12" s="63">
        <f t="shared" si="6"/>
        <v>800803.59</v>
      </c>
      <c r="CH12" s="63">
        <f t="shared" si="24"/>
        <v>354</v>
      </c>
      <c r="CI12" s="63">
        <f t="shared" si="9"/>
        <v>0</v>
      </c>
      <c r="CJ12" s="63">
        <f t="shared" si="10"/>
        <v>0.45480516874807703</v>
      </c>
      <c r="CK12" s="63">
        <f t="shared" si="11"/>
        <v>1.39860791215351</v>
      </c>
      <c r="CL12" s="63">
        <f t="shared" si="25"/>
        <v>354</v>
      </c>
      <c r="CM12" s="63">
        <f t="shared" si="26"/>
        <v>6.1784655520599303</v>
      </c>
      <c r="CN12" s="63">
        <f t="shared" si="12"/>
        <v>0</v>
      </c>
      <c r="CO12" s="63">
        <f t="shared" si="13"/>
        <v>1.00543891812539</v>
      </c>
      <c r="CP12" s="63">
        <f t="shared" si="14"/>
        <v>0</v>
      </c>
      <c r="CQ12" s="63">
        <f t="shared" si="15"/>
        <v>0.45480516874807703</v>
      </c>
      <c r="CR12" s="63">
        <f t="shared" si="16"/>
        <v>0</v>
      </c>
      <c r="CS12" s="63">
        <f t="shared" si="17"/>
        <v>0.45480516874807703</v>
      </c>
      <c r="CT12" s="63">
        <f t="shared" si="18"/>
        <v>1.39860791215351</v>
      </c>
      <c r="CU12" s="63">
        <f t="shared" si="19"/>
        <v>9.3200582056497208</v>
      </c>
      <c r="CV12" s="63">
        <f t="shared" si="20"/>
        <v>26.058416670000021</v>
      </c>
      <c r="CW12" s="63">
        <f t="shared" si="21"/>
        <v>80.134330559999924</v>
      </c>
      <c r="CX12" s="63">
        <f t="shared" si="22"/>
        <v>260330.30001199999</v>
      </c>
      <c r="CY12" s="63">
        <f t="shared" si="23"/>
        <v>800803.59001599997</v>
      </c>
    </row>
    <row r="13" spans="1:103" x14ac:dyDescent="0.25">
      <c r="A13" s="67">
        <v>3</v>
      </c>
      <c r="B13" s="84"/>
      <c r="C13" s="84"/>
      <c r="D13" s="84"/>
      <c r="E13" s="84"/>
      <c r="F13" s="109" t="str">
        <f t="shared" si="27"/>
        <v/>
      </c>
      <c r="G13" s="81"/>
      <c r="H13" s="81"/>
      <c r="I13" s="85"/>
      <c r="J13" s="77" t="str">
        <f t="shared" si="28"/>
        <v/>
      </c>
      <c r="K13" s="77" t="str">
        <f t="shared" si="29"/>
        <v/>
      </c>
      <c r="L13" s="77" t="str">
        <f t="shared" si="30"/>
        <v/>
      </c>
      <c r="M13" s="79" t="str">
        <f t="shared" si="31"/>
        <v/>
      </c>
      <c r="N13" s="79" t="str">
        <f t="shared" si="32"/>
        <v/>
      </c>
      <c r="O13" s="79" t="str">
        <f t="shared" si="33"/>
        <v/>
      </c>
      <c r="P13" s="77" t="str">
        <f t="shared" si="34"/>
        <v/>
      </c>
      <c r="Q13" s="77" t="str">
        <f t="shared" si="35"/>
        <v/>
      </c>
      <c r="R13" s="77" t="str">
        <f t="shared" si="36"/>
        <v/>
      </c>
      <c r="S13" s="8"/>
      <c r="T13" s="74">
        <f t="shared" si="37"/>
        <v>-80.134330559999924</v>
      </c>
      <c r="U13" s="66">
        <f t="shared" si="38"/>
        <v>26.058416670000021</v>
      </c>
      <c r="V13" s="66">
        <f t="shared" si="39"/>
        <v>1.524</v>
      </c>
      <c r="W13" s="3" t="str">
        <f t="shared" si="40"/>
        <v/>
      </c>
      <c r="X13" s="3" t="str">
        <f t="shared" si="41"/>
        <v/>
      </c>
      <c r="Y13" s="3" t="str">
        <f ca="1">IF(Data!$O$47/2+4000&lt;W13,"Beyond",IF(Data!$O$47/2&gt;W13,"Behind","Inside"))</f>
        <v>Beyond</v>
      </c>
      <c r="Z13" s="20" t="e">
        <f ca="1">IF((TAN(Data!$AA$5*PI()/180)*W13)+(Data!$O$47/2)&lt;Data!$O$47/2,Data!$O$47/2,IF((TAN(Data!$AA$5*PI()/180)*W13)+(Data!$O$47/2)&gt;250,250,(TAN(Data!$AA$5*PI()/180)*W13)+(Data!$O$47/2)))</f>
        <v>#VALUE!</v>
      </c>
      <c r="AA13" s="3" t="str">
        <f t="shared" ca="1" si="42"/>
        <v>No</v>
      </c>
      <c r="AB13" s="20" t="e">
        <f ca="1">IF(((W13-(Data!$O$47/2))/8)&gt;0,((W13-(Data!$O$47/2))/8),0)</f>
        <v>#VALUE!</v>
      </c>
      <c r="AC13" s="20" t="e">
        <f t="shared" ca="1" si="43"/>
        <v>#VALUE!</v>
      </c>
      <c r="AD13" s="3" t="str">
        <f>IF(Data!$D$29="","",IF(AND($C13="",$D13="",$E13="",$G13="",$H13="",$I13=""),"",IF(AND(Y13="Inside",AA13="Yes",AC13&gt;0),"Yes - "&amp;ROUND(AC13,2)&amp;" ft","No")))</f>
        <v/>
      </c>
      <c r="AE13" s="3" t="str">
        <f ca="1">IF(Data!$O$47/2+2000&lt;W13,"Beyond",IF(Data!$O$47/2&gt;W13,"Behind","Inside"))</f>
        <v>Beyond</v>
      </c>
      <c r="AF13" s="20" t="e">
        <f ca="1">(TAN(Data!$AA$12*PI()/180)*W13)+(Data!$O$47/2)</f>
        <v>#VALUE!</v>
      </c>
      <c r="AG13" s="3" t="e">
        <f t="shared" ca="1" si="44"/>
        <v>#VALUE!</v>
      </c>
      <c r="AH13" s="20" t="e">
        <f t="shared" ca="1" si="45"/>
        <v>#VALUE!</v>
      </c>
      <c r="AI13" s="20" t="e">
        <f t="shared" ca="1" si="46"/>
        <v>#VALUE!</v>
      </c>
      <c r="AJ13" s="3" t="str">
        <f>IF(Data!$D$29="","",IF(AND($C13="",$D13="",$E13="",$G13="",$H13="",$I13=""),"",IF(AND(AE13="Inside",AG13="Yes",AI13&gt;0),"Yes - "&amp;ROUND(AI13,2)&amp;" ft","No")))</f>
        <v/>
      </c>
      <c r="AK13" s="3" t="str">
        <f ca="1">IF(0-Data!$O$47/2&gt;W13,"Behind",IF(Data!$O$47/2+4000&lt;W13,"Beyond","Inside"))</f>
        <v>Beyond</v>
      </c>
      <c r="AL13" s="3" t="e">
        <f t="shared" ca="1" si="47"/>
        <v>#VALUE!</v>
      </c>
      <c r="AM13" s="20" t="e">
        <f t="shared" ca="1" si="48"/>
        <v>#VALUE!</v>
      </c>
      <c r="AN13" s="20" t="e">
        <f t="shared" ca="1" si="49"/>
        <v>#VALUE!</v>
      </c>
      <c r="AO13" s="3" t="str">
        <f>IF(Data!$D$29="","",IF(AND($C13="",$D13="",$E13="",$G13="",$H13="",$I13=""),"",IF(AND(AK13="Inside",AL13="Yes",AN13&gt;0),"Yes - "&amp;ROUND(AN13,2)&amp;" ft","No")))</f>
        <v/>
      </c>
      <c r="AP13" s="72" t="str">
        <f t="shared" si="50"/>
        <v/>
      </c>
      <c r="AQ13" s="72" t="str">
        <f t="shared" si="51"/>
        <v/>
      </c>
      <c r="AR13" s="72" t="str">
        <f ca="1">IF(Data!$O$47/2+4000&lt;AP13,"Beyond",IF(Data!$O$47/2&gt;AP13,"Behind","Inside"))</f>
        <v>Beyond</v>
      </c>
      <c r="AS13" s="72" t="e">
        <f ca="1">IF((TAN(Data!$AA$5*PI()/180)*AP13)+(Data!$O$47/2)&lt;Data!$O$47/2,Data!$O$47/2,IF((TAN(Data!$AA$5*PI()/180)*AP13)+(Data!$O$47/2)&gt;250,250,(TAN(Data!$AA$5*PI()/180)*AP13)+(Data!$O$47/2)))</f>
        <v>#VALUE!</v>
      </c>
      <c r="AT13" s="72" t="str">
        <f t="shared" ca="1" si="52"/>
        <v>No</v>
      </c>
      <c r="AU13" s="72" t="e">
        <f ca="1">IF(((AP13-(Data!$O$47/2))/8)&gt;0,((AP13-(Data!$O$47/2))/8),0)</f>
        <v>#VALUE!</v>
      </c>
      <c r="AV13" s="72" t="e">
        <f t="shared" ca="1" si="53"/>
        <v>#VALUE!</v>
      </c>
      <c r="AW13" s="72" t="str">
        <f>IF(Data!$D$30="","",IF(AND($C13="",$D13="",$E13="",$G13="",$H13="",$I13=""),"",IF(AND(AR13="Inside",AT13="Yes",AV13&gt;0),"Yes - "&amp;ROUND(AV13,2)&amp;" ft","No")))</f>
        <v/>
      </c>
      <c r="AX13" s="72" t="str">
        <f ca="1">IF(Data!$O$47/2+2000&lt;AP13,"Beyond",IF(Data!$O$47/2&gt;AP13,"Behind","Inside"))</f>
        <v>Beyond</v>
      </c>
      <c r="AY13" s="72" t="e">
        <f ca="1">(TAN(Data!$AA$12*PI()/180)*AP13)+(Data!$O$47/2)</f>
        <v>#VALUE!</v>
      </c>
      <c r="AZ13" s="72" t="e">
        <f t="shared" ca="1" si="54"/>
        <v>#VALUE!</v>
      </c>
      <c r="BA13" s="72" t="e">
        <f t="shared" ca="1" si="55"/>
        <v>#VALUE!</v>
      </c>
      <c r="BB13" s="72" t="e">
        <f t="shared" ca="1" si="56"/>
        <v>#VALUE!</v>
      </c>
      <c r="BC13" s="72" t="str">
        <f>IF(Data!$D$30="","",IF(AND($C13="",$D13="",$E13="",$G13="",$H13="",$I13=""),"",IF(AND(AX13="Inside",AZ13="Yes",BB13&gt;0),"Yes - "&amp;ROUND(BB13,2)&amp;" ft","No")))</f>
        <v/>
      </c>
      <c r="BD13" s="72" t="str">
        <f ca="1">IF(0-Data!$O$47/2&gt;AP13,"Behind",IF(Data!$O$47/2+4000&lt;AP13,"Beyond","Inside"))</f>
        <v>Beyond</v>
      </c>
      <c r="BE13" s="72" t="e">
        <f t="shared" ca="1" si="57"/>
        <v>#VALUE!</v>
      </c>
      <c r="BF13" s="72" t="e">
        <f t="shared" ca="1" si="58"/>
        <v>#VALUE!</v>
      </c>
      <c r="BG13" s="72" t="e">
        <f t="shared" ca="1" si="59"/>
        <v>#VALUE!</v>
      </c>
      <c r="BH13" s="72" t="str">
        <f>IF(Data!$D$30="","",IF(AND($C13="",$D13="",$E13="",$G13="",$H13="",$I13=""),"",IF(AND(BD13="Inside",BE13="Yes",BG13&gt;0),"Yes - "&amp;ROUND(BG13,2)&amp;" ft","No")))</f>
        <v/>
      </c>
      <c r="BI13" s="3" t="str">
        <f t="shared" si="60"/>
        <v/>
      </c>
      <c r="BJ13" s="3" t="str">
        <f t="shared" si="61"/>
        <v/>
      </c>
      <c r="BK13" s="3" t="str">
        <f ca="1">IF(Data!$O$47/2+4000&lt;BI13,"Beyond",IF(Data!$O$47/2&gt;BI13,"Behind","Inside"))</f>
        <v>Beyond</v>
      </c>
      <c r="BL13" s="20" t="e">
        <f ca="1">IF((TAN(Data!$AA$5*PI()/180)*BI13)+(Data!$O$47/2)&lt;Data!$O$47/2,Data!$O$47/2,IF((TAN(Data!$AA$5*PI()/180)*BI13)+(Data!$O$47/2)&gt;250,250,(TAN(Data!$AA$5*PI()/180)*BI13)+(Data!$O$47/2)))</f>
        <v>#VALUE!</v>
      </c>
      <c r="BM13" s="3" t="str">
        <f t="shared" ca="1" si="62"/>
        <v>No</v>
      </c>
      <c r="BN13" s="20" t="e">
        <f ca="1">IF(((BI13-(Data!$O$47/2))/8)&gt;0,((BI13-(Data!$O$47/2))/8),0)</f>
        <v>#VALUE!</v>
      </c>
      <c r="BO13" s="20" t="e">
        <f t="shared" ca="1" si="63"/>
        <v>#VALUE!</v>
      </c>
      <c r="BP13" s="3" t="str">
        <f>IF(Data!$D$31="","",IF(AND($C13="",$D13="",$E13="",$G13="",$H13="",$I13=""),"",IF(AND(BK13="Inside",BM13="Yes",BO13&gt;0),"Yes - "&amp;ROUND(BO13,2)&amp;" ft","No")))</f>
        <v/>
      </c>
      <c r="BQ13" s="3" t="str">
        <f ca="1">IF(Data!$O$47/2+2000&lt;BI13,"Beyond",IF(Data!$O$47/2&gt;BI13,"Behind","Inside"))</f>
        <v>Beyond</v>
      </c>
      <c r="BR13" s="20" t="e">
        <f ca="1">(TAN(Data!$AA$12*PI()/180)*BI13)+(Data!$O$47/2)</f>
        <v>#VALUE!</v>
      </c>
      <c r="BS13" s="3" t="e">
        <f t="shared" ca="1" si="64"/>
        <v>#VALUE!</v>
      </c>
      <c r="BT13" s="20" t="e">
        <f t="shared" ca="1" si="65"/>
        <v>#VALUE!</v>
      </c>
      <c r="BU13" s="20" t="e">
        <f t="shared" ca="1" si="66"/>
        <v>#VALUE!</v>
      </c>
      <c r="BV13" s="3" t="str">
        <f>IF(Data!$D$31="","",IF(AND($C13="",$D13="",$E13="",$G13="",$H13="",$I13=""),"",IF(AND(BQ13="Inside",BS13="Yes",BU13&gt;0),"Yes - "&amp;ROUND(BU13,2)&amp;" ft","No")))</f>
        <v/>
      </c>
      <c r="BW13" s="3" t="str">
        <f ca="1">IF(0-Data!$O$47/2&gt;BI13,"Behind",IF(Data!$O$47/2+4000&lt;BI13,"Beyond","Inside"))</f>
        <v>Beyond</v>
      </c>
      <c r="BX13" s="3" t="e">
        <f t="shared" ca="1" si="67"/>
        <v>#VALUE!</v>
      </c>
      <c r="BY13" s="20" t="e">
        <f t="shared" ca="1" si="68"/>
        <v>#VALUE!</v>
      </c>
      <c r="BZ13" s="20" t="e">
        <f t="shared" ca="1" si="69"/>
        <v>#VALUE!</v>
      </c>
      <c r="CA13" s="3" t="str">
        <f>IF(Data!$D$31="","",IF(AND($C13="",$D13="",$E13="",$G13="",$H13="",$I13=""),"",IF(AND(BW13="Inside",BX13="Yes",BZ13&gt;0),"Yes - "&amp;ROUND(BZ13,2)&amp;" ft","No")))</f>
        <v/>
      </c>
      <c r="CB13" s="9"/>
      <c r="CC13" t="str">
        <f t="shared" si="70"/>
        <v>No</v>
      </c>
      <c r="CD13" s="62" t="s">
        <v>519</v>
      </c>
      <c r="CE13" s="63">
        <f t="shared" si="7"/>
        <v>0</v>
      </c>
      <c r="CF13" s="63">
        <f t="shared" si="5"/>
        <v>260330.3</v>
      </c>
      <c r="CG13" s="63">
        <f t="shared" si="6"/>
        <v>800803.59</v>
      </c>
      <c r="CH13" s="63">
        <f t="shared" si="24"/>
        <v>354</v>
      </c>
      <c r="CI13" s="63">
        <f t="shared" si="9"/>
        <v>0</v>
      </c>
      <c r="CJ13" s="63">
        <f t="shared" si="10"/>
        <v>0.45480516874807703</v>
      </c>
      <c r="CK13" s="63">
        <f t="shared" si="11"/>
        <v>1.39860791215351</v>
      </c>
      <c r="CL13" s="63">
        <f t="shared" si="25"/>
        <v>354</v>
      </c>
      <c r="CM13" s="63">
        <f t="shared" si="26"/>
        <v>6.1784655520599303</v>
      </c>
      <c r="CN13" s="63">
        <f t="shared" si="12"/>
        <v>0</v>
      </c>
      <c r="CO13" s="63">
        <f t="shared" si="13"/>
        <v>1.00543891812539</v>
      </c>
      <c r="CP13" s="63">
        <f t="shared" si="14"/>
        <v>0</v>
      </c>
      <c r="CQ13" s="63">
        <f t="shared" si="15"/>
        <v>0.45480516874807703</v>
      </c>
      <c r="CR13" s="63">
        <f t="shared" si="16"/>
        <v>0</v>
      </c>
      <c r="CS13" s="63">
        <f t="shared" si="17"/>
        <v>0.45480516874807703</v>
      </c>
      <c r="CT13" s="63">
        <f t="shared" si="18"/>
        <v>1.39860791215351</v>
      </c>
      <c r="CU13" s="63">
        <f t="shared" si="19"/>
        <v>9.3200582056497208</v>
      </c>
      <c r="CV13" s="63">
        <f t="shared" si="20"/>
        <v>26.058416670000021</v>
      </c>
      <c r="CW13" s="63">
        <f t="shared" si="21"/>
        <v>80.134330559999924</v>
      </c>
      <c r="CX13" s="63">
        <f t="shared" si="22"/>
        <v>260330.30001199999</v>
      </c>
      <c r="CY13" s="63">
        <f t="shared" si="23"/>
        <v>800803.59001599997</v>
      </c>
    </row>
    <row r="14" spans="1:103" x14ac:dyDescent="0.25">
      <c r="A14" s="67">
        <v>4</v>
      </c>
      <c r="B14" s="84"/>
      <c r="C14" s="84"/>
      <c r="D14" s="84"/>
      <c r="E14" s="84"/>
      <c r="F14" s="109" t="str">
        <f t="shared" si="27"/>
        <v/>
      </c>
      <c r="G14" s="81"/>
      <c r="H14" s="81"/>
      <c r="I14" s="85"/>
      <c r="J14" s="77" t="str">
        <f t="shared" si="28"/>
        <v/>
      </c>
      <c r="K14" s="77" t="str">
        <f t="shared" si="29"/>
        <v/>
      </c>
      <c r="L14" s="77" t="str">
        <f t="shared" si="30"/>
        <v/>
      </c>
      <c r="M14" s="79" t="str">
        <f t="shared" si="31"/>
        <v/>
      </c>
      <c r="N14" s="79" t="str">
        <f t="shared" si="32"/>
        <v/>
      </c>
      <c r="O14" s="79" t="str">
        <f t="shared" si="33"/>
        <v/>
      </c>
      <c r="P14" s="77" t="str">
        <f t="shared" si="34"/>
        <v/>
      </c>
      <c r="Q14" s="77" t="str">
        <f t="shared" si="35"/>
        <v/>
      </c>
      <c r="R14" s="77" t="str">
        <f t="shared" si="36"/>
        <v/>
      </c>
      <c r="S14" s="8"/>
      <c r="T14" s="74">
        <f t="shared" si="37"/>
        <v>-80.134330559999924</v>
      </c>
      <c r="U14" s="66">
        <f t="shared" si="38"/>
        <v>26.058416670000021</v>
      </c>
      <c r="V14" s="66">
        <f t="shared" si="39"/>
        <v>1.524</v>
      </c>
      <c r="W14" s="3" t="str">
        <f t="shared" si="40"/>
        <v/>
      </c>
      <c r="X14" s="3" t="str">
        <f t="shared" si="41"/>
        <v/>
      </c>
      <c r="Y14" s="3" t="str">
        <f ca="1">IF(Data!$O$47/2+4000&lt;W14,"Beyond",IF(Data!$O$47/2&gt;W14,"Behind","Inside"))</f>
        <v>Beyond</v>
      </c>
      <c r="Z14" s="20" t="e">
        <f ca="1">IF((TAN(Data!$AA$5*PI()/180)*W14)+(Data!$O$47/2)&lt;Data!$O$47/2,Data!$O$47/2,IF((TAN(Data!$AA$5*PI()/180)*W14)+(Data!$O$47/2)&gt;250,250,(TAN(Data!$AA$5*PI()/180)*W14)+(Data!$O$47/2)))</f>
        <v>#VALUE!</v>
      </c>
      <c r="AA14" s="3" t="str">
        <f t="shared" ca="1" si="42"/>
        <v>No</v>
      </c>
      <c r="AB14" s="20" t="e">
        <f ca="1">IF(((W14-(Data!$O$47/2))/8)&gt;0,((W14-(Data!$O$47/2))/8),0)</f>
        <v>#VALUE!</v>
      </c>
      <c r="AC14" s="20" t="e">
        <f t="shared" ca="1" si="43"/>
        <v>#VALUE!</v>
      </c>
      <c r="AD14" s="3" t="str">
        <f>IF(Data!$D$29="","",IF(AND($C14="",$D14="",$E14="",$G14="",$H14="",$I14=""),"",IF(AND(Y14="Inside",AA14="Yes",AC14&gt;0),"Yes - "&amp;ROUND(AC14,2)&amp;" ft","No")))</f>
        <v/>
      </c>
      <c r="AE14" s="3" t="str">
        <f ca="1">IF(Data!$O$47/2+2000&lt;W14,"Beyond",IF(Data!$O$47/2&gt;W14,"Behind","Inside"))</f>
        <v>Beyond</v>
      </c>
      <c r="AF14" s="20" t="e">
        <f ca="1">(TAN(Data!$AA$12*PI()/180)*W14)+(Data!$O$47/2)</f>
        <v>#VALUE!</v>
      </c>
      <c r="AG14" s="3" t="e">
        <f t="shared" ca="1" si="44"/>
        <v>#VALUE!</v>
      </c>
      <c r="AH14" s="20" t="e">
        <f t="shared" ca="1" si="45"/>
        <v>#VALUE!</v>
      </c>
      <c r="AI14" s="20" t="e">
        <f t="shared" ca="1" si="46"/>
        <v>#VALUE!</v>
      </c>
      <c r="AJ14" s="3" t="str">
        <f>IF(Data!$D$29="","",IF(AND($C14="",$D14="",$E14="",$G14="",$H14="",$I14=""),"",IF(AND(AE14="Inside",AG14="Yes",AI14&gt;0),"Yes - "&amp;ROUND(AI14,2)&amp;" ft","No")))</f>
        <v/>
      </c>
      <c r="AK14" s="3" t="str">
        <f ca="1">IF(0-Data!$O$47/2&gt;W14,"Behind",IF(Data!$O$47/2+4000&lt;W14,"Beyond","Inside"))</f>
        <v>Beyond</v>
      </c>
      <c r="AL14" s="3" t="e">
        <f t="shared" ca="1" si="47"/>
        <v>#VALUE!</v>
      </c>
      <c r="AM14" s="20" t="e">
        <f t="shared" ca="1" si="48"/>
        <v>#VALUE!</v>
      </c>
      <c r="AN14" s="20" t="e">
        <f t="shared" ca="1" si="49"/>
        <v>#VALUE!</v>
      </c>
      <c r="AO14" s="3" t="str">
        <f>IF(Data!$D$29="","",IF(AND($C14="",$D14="",$E14="",$G14="",$H14="",$I14=""),"",IF(AND(AK14="Inside",AL14="Yes",AN14&gt;0),"Yes - "&amp;ROUND(AN14,2)&amp;" ft","No")))</f>
        <v/>
      </c>
      <c r="AP14" s="72" t="str">
        <f t="shared" si="50"/>
        <v/>
      </c>
      <c r="AQ14" s="72" t="str">
        <f t="shared" si="51"/>
        <v/>
      </c>
      <c r="AR14" s="72" t="str">
        <f ca="1">IF(Data!$O$47/2+4000&lt;AP14,"Beyond",IF(Data!$O$47/2&gt;AP14,"Behind","Inside"))</f>
        <v>Beyond</v>
      </c>
      <c r="AS14" s="72" t="e">
        <f ca="1">IF((TAN(Data!$AA$5*PI()/180)*AP14)+(Data!$O$47/2)&lt;Data!$O$47/2,Data!$O$47/2,IF((TAN(Data!$AA$5*PI()/180)*AP14)+(Data!$O$47/2)&gt;250,250,(TAN(Data!$AA$5*PI()/180)*AP14)+(Data!$O$47/2)))</f>
        <v>#VALUE!</v>
      </c>
      <c r="AT14" s="72" t="str">
        <f t="shared" ca="1" si="52"/>
        <v>No</v>
      </c>
      <c r="AU14" s="72" t="e">
        <f ca="1">IF(((AP14-(Data!$O$47/2))/8)&gt;0,((AP14-(Data!$O$47/2))/8),0)</f>
        <v>#VALUE!</v>
      </c>
      <c r="AV14" s="72" t="e">
        <f t="shared" ca="1" si="53"/>
        <v>#VALUE!</v>
      </c>
      <c r="AW14" s="72" t="str">
        <f>IF(Data!$D$30="","",IF(AND($C14="",$D14="",$E14="",$G14="",$H14="",$I14=""),"",IF(AND(AR14="Inside",AT14="Yes",AV14&gt;0),"Yes - "&amp;ROUND(AV14,2)&amp;" ft","No")))</f>
        <v/>
      </c>
      <c r="AX14" s="72" t="str">
        <f ca="1">IF(Data!$O$47/2+2000&lt;AP14,"Beyond",IF(Data!$O$47/2&gt;AP14,"Behind","Inside"))</f>
        <v>Beyond</v>
      </c>
      <c r="AY14" s="72" t="e">
        <f ca="1">(TAN(Data!$AA$12*PI()/180)*AP14)+(Data!$O$47/2)</f>
        <v>#VALUE!</v>
      </c>
      <c r="AZ14" s="72" t="e">
        <f t="shared" ca="1" si="54"/>
        <v>#VALUE!</v>
      </c>
      <c r="BA14" s="72" t="e">
        <f t="shared" ca="1" si="55"/>
        <v>#VALUE!</v>
      </c>
      <c r="BB14" s="72" t="e">
        <f t="shared" ca="1" si="56"/>
        <v>#VALUE!</v>
      </c>
      <c r="BC14" s="72" t="str">
        <f>IF(Data!$D$30="","",IF(AND($C14="",$D14="",$E14="",$G14="",$H14="",$I14=""),"",IF(AND(AX14="Inside",AZ14="Yes",BB14&gt;0),"Yes - "&amp;ROUND(BB14,2)&amp;" ft","No")))</f>
        <v/>
      </c>
      <c r="BD14" s="72" t="str">
        <f ca="1">IF(0-Data!$O$47/2&gt;AP14,"Behind",IF(Data!$O$47/2+4000&lt;AP14,"Beyond","Inside"))</f>
        <v>Beyond</v>
      </c>
      <c r="BE14" s="72" t="e">
        <f t="shared" ca="1" si="57"/>
        <v>#VALUE!</v>
      </c>
      <c r="BF14" s="72" t="e">
        <f t="shared" ca="1" si="58"/>
        <v>#VALUE!</v>
      </c>
      <c r="BG14" s="72" t="e">
        <f t="shared" ca="1" si="59"/>
        <v>#VALUE!</v>
      </c>
      <c r="BH14" s="72" t="str">
        <f>IF(Data!$D$30="","",IF(AND($C14="",$D14="",$E14="",$G14="",$H14="",$I14=""),"",IF(AND(BD14="Inside",BE14="Yes",BG14&gt;0),"Yes - "&amp;ROUND(BG14,2)&amp;" ft","No")))</f>
        <v/>
      </c>
      <c r="BI14" s="3" t="str">
        <f t="shared" si="60"/>
        <v/>
      </c>
      <c r="BJ14" s="3" t="str">
        <f t="shared" si="61"/>
        <v/>
      </c>
      <c r="BK14" s="3" t="str">
        <f ca="1">IF(Data!$O$47/2+4000&lt;BI14,"Beyond",IF(Data!$O$47/2&gt;BI14,"Behind","Inside"))</f>
        <v>Beyond</v>
      </c>
      <c r="BL14" s="20" t="e">
        <f ca="1">IF((TAN(Data!$AA$5*PI()/180)*BI14)+(Data!$O$47/2)&lt;Data!$O$47/2,Data!$O$47/2,IF((TAN(Data!$AA$5*PI()/180)*BI14)+(Data!$O$47/2)&gt;250,250,(TAN(Data!$AA$5*PI()/180)*BI14)+(Data!$O$47/2)))</f>
        <v>#VALUE!</v>
      </c>
      <c r="BM14" s="3" t="str">
        <f t="shared" ca="1" si="62"/>
        <v>No</v>
      </c>
      <c r="BN14" s="20" t="e">
        <f ca="1">IF(((BI14-(Data!$O$47/2))/8)&gt;0,((BI14-(Data!$O$47/2))/8),0)</f>
        <v>#VALUE!</v>
      </c>
      <c r="BO14" s="20" t="e">
        <f t="shared" ca="1" si="63"/>
        <v>#VALUE!</v>
      </c>
      <c r="BP14" s="3" t="str">
        <f>IF(Data!$D$31="","",IF(AND($C14="",$D14="",$E14="",$G14="",$H14="",$I14=""),"",IF(AND(BK14="Inside",BM14="Yes",BO14&gt;0),"Yes - "&amp;ROUND(BO14,2)&amp;" ft","No")))</f>
        <v/>
      </c>
      <c r="BQ14" s="3" t="str">
        <f ca="1">IF(Data!$O$47/2+2000&lt;BI14,"Beyond",IF(Data!$O$47/2&gt;BI14,"Behind","Inside"))</f>
        <v>Beyond</v>
      </c>
      <c r="BR14" s="20" t="e">
        <f ca="1">(TAN(Data!$AA$12*PI()/180)*BI14)+(Data!$O$47/2)</f>
        <v>#VALUE!</v>
      </c>
      <c r="BS14" s="3" t="e">
        <f t="shared" ca="1" si="64"/>
        <v>#VALUE!</v>
      </c>
      <c r="BT14" s="20" t="e">
        <f t="shared" ca="1" si="65"/>
        <v>#VALUE!</v>
      </c>
      <c r="BU14" s="20" t="e">
        <f t="shared" ca="1" si="66"/>
        <v>#VALUE!</v>
      </c>
      <c r="BV14" s="3" t="str">
        <f>IF(Data!$D$31="","",IF(AND($C14="",$D14="",$E14="",$G14="",$H14="",$I14=""),"",IF(AND(BQ14="Inside",BS14="Yes",BU14&gt;0),"Yes - "&amp;ROUND(BU14,2)&amp;" ft","No")))</f>
        <v/>
      </c>
      <c r="BW14" s="3" t="str">
        <f ca="1">IF(0-Data!$O$47/2&gt;BI14,"Behind",IF(Data!$O$47/2+4000&lt;BI14,"Beyond","Inside"))</f>
        <v>Beyond</v>
      </c>
      <c r="BX14" s="3" t="e">
        <f t="shared" ca="1" si="67"/>
        <v>#VALUE!</v>
      </c>
      <c r="BY14" s="20" t="e">
        <f t="shared" ca="1" si="68"/>
        <v>#VALUE!</v>
      </c>
      <c r="BZ14" s="20" t="e">
        <f t="shared" ca="1" si="69"/>
        <v>#VALUE!</v>
      </c>
      <c r="CA14" s="3" t="str">
        <f>IF(Data!$D$31="","",IF(AND($C14="",$D14="",$E14="",$G14="",$H14="",$I14=""),"",IF(AND(BW14="Inside",BX14="Yes",BZ14&gt;0),"Yes - "&amp;ROUND(BZ14,2)&amp;" ft","No")))</f>
        <v/>
      </c>
      <c r="CB14" s="9"/>
      <c r="CC14" t="str">
        <f t="shared" si="70"/>
        <v>No</v>
      </c>
      <c r="CD14" s="62" t="s">
        <v>520</v>
      </c>
      <c r="CE14" s="63">
        <f t="shared" si="7"/>
        <v>0</v>
      </c>
      <c r="CF14" s="63">
        <f t="shared" si="5"/>
        <v>260330.3</v>
      </c>
      <c r="CG14" s="63">
        <f t="shared" si="6"/>
        <v>800803.59</v>
      </c>
      <c r="CH14" s="63">
        <f t="shared" si="24"/>
        <v>354</v>
      </c>
      <c r="CI14" s="63">
        <f t="shared" si="9"/>
        <v>0</v>
      </c>
      <c r="CJ14" s="63">
        <f t="shared" si="10"/>
        <v>0.45480516874807703</v>
      </c>
      <c r="CK14" s="63">
        <f t="shared" si="11"/>
        <v>1.39860791215351</v>
      </c>
      <c r="CL14" s="63">
        <f t="shared" si="25"/>
        <v>354</v>
      </c>
      <c r="CM14" s="63">
        <f t="shared" si="26"/>
        <v>6.1784655520599303</v>
      </c>
      <c r="CN14" s="63">
        <f t="shared" si="12"/>
        <v>0</v>
      </c>
      <c r="CO14" s="63">
        <f t="shared" si="13"/>
        <v>1.00543891812539</v>
      </c>
      <c r="CP14" s="63">
        <f t="shared" si="14"/>
        <v>0</v>
      </c>
      <c r="CQ14" s="63">
        <f t="shared" si="15"/>
        <v>0.45480516874807703</v>
      </c>
      <c r="CR14" s="63">
        <f t="shared" si="16"/>
        <v>0</v>
      </c>
      <c r="CS14" s="63">
        <f t="shared" si="17"/>
        <v>0.45480516874807703</v>
      </c>
      <c r="CT14" s="63">
        <f t="shared" si="18"/>
        <v>1.39860791215351</v>
      </c>
      <c r="CU14" s="63">
        <f t="shared" si="19"/>
        <v>9.3200582056497208</v>
      </c>
      <c r="CV14" s="63">
        <f t="shared" si="20"/>
        <v>26.058416670000021</v>
      </c>
      <c r="CW14" s="63">
        <f t="shared" si="21"/>
        <v>80.134330559999924</v>
      </c>
      <c r="CX14" s="63">
        <f t="shared" si="22"/>
        <v>260330.30001199999</v>
      </c>
      <c r="CY14" s="63">
        <f t="shared" si="23"/>
        <v>800803.59001599997</v>
      </c>
    </row>
    <row r="15" spans="1:103" x14ac:dyDescent="0.25">
      <c r="A15" s="67">
        <v>5</v>
      </c>
      <c r="B15" s="84"/>
      <c r="C15" s="84"/>
      <c r="D15" s="84"/>
      <c r="E15" s="84"/>
      <c r="F15" s="109" t="str">
        <f t="shared" si="27"/>
        <v/>
      </c>
      <c r="G15" s="81"/>
      <c r="H15" s="81"/>
      <c r="I15" s="85"/>
      <c r="J15" s="77" t="str">
        <f t="shared" si="28"/>
        <v/>
      </c>
      <c r="K15" s="77" t="str">
        <f t="shared" si="29"/>
        <v/>
      </c>
      <c r="L15" s="77" t="str">
        <f t="shared" si="30"/>
        <v/>
      </c>
      <c r="M15" s="79" t="str">
        <f t="shared" si="31"/>
        <v/>
      </c>
      <c r="N15" s="79" t="str">
        <f t="shared" si="32"/>
        <v/>
      </c>
      <c r="O15" s="79" t="str">
        <f t="shared" si="33"/>
        <v/>
      </c>
      <c r="P15" s="77" t="str">
        <f t="shared" si="34"/>
        <v/>
      </c>
      <c r="Q15" s="77" t="str">
        <f t="shared" si="35"/>
        <v/>
      </c>
      <c r="R15" s="77" t="str">
        <f t="shared" si="36"/>
        <v/>
      </c>
      <c r="S15" s="8"/>
      <c r="T15" s="74">
        <f t="shared" si="37"/>
        <v>-80.134330559999924</v>
      </c>
      <c r="U15" s="66">
        <f t="shared" si="38"/>
        <v>26.058416670000021</v>
      </c>
      <c r="V15" s="66">
        <f t="shared" si="39"/>
        <v>1.524</v>
      </c>
      <c r="W15" s="3" t="str">
        <f t="shared" si="40"/>
        <v/>
      </c>
      <c r="X15" s="3" t="str">
        <f t="shared" si="41"/>
        <v/>
      </c>
      <c r="Y15" s="3" t="str">
        <f ca="1">IF(Data!$O$47/2+4000&lt;W15,"Beyond",IF(Data!$O$47/2&gt;W15,"Behind","Inside"))</f>
        <v>Beyond</v>
      </c>
      <c r="Z15" s="20" t="e">
        <f ca="1">IF((TAN(Data!$AA$5*PI()/180)*W15)+(Data!$O$47/2)&lt;Data!$O$47/2,Data!$O$47/2,IF((TAN(Data!$AA$5*PI()/180)*W15)+(Data!$O$47/2)&gt;250,250,(TAN(Data!$AA$5*PI()/180)*W15)+(Data!$O$47/2)))</f>
        <v>#VALUE!</v>
      </c>
      <c r="AA15" s="3" t="str">
        <f t="shared" ca="1" si="42"/>
        <v>No</v>
      </c>
      <c r="AB15" s="20" t="e">
        <f ca="1">IF(((W15-(Data!$O$47/2))/8)&gt;0,((W15-(Data!$O$47/2))/8),0)</f>
        <v>#VALUE!</v>
      </c>
      <c r="AC15" s="20" t="e">
        <f t="shared" ca="1" si="43"/>
        <v>#VALUE!</v>
      </c>
      <c r="AD15" s="3" t="str">
        <f>IF(Data!$D$29="","",IF(AND($C15="",$D15="",$E15="",$G15="",$H15="",$I15=""),"",IF(AND(Y15="Inside",AA15="Yes",AC15&gt;0),"Yes - "&amp;ROUND(AC15,2)&amp;" ft","No")))</f>
        <v/>
      </c>
      <c r="AE15" s="3" t="str">
        <f ca="1">IF(Data!$O$47/2+2000&lt;W15,"Beyond",IF(Data!$O$47/2&gt;W15,"Behind","Inside"))</f>
        <v>Beyond</v>
      </c>
      <c r="AF15" s="20" t="e">
        <f ca="1">(TAN(Data!$AA$12*PI()/180)*W15)+(Data!$O$47/2)</f>
        <v>#VALUE!</v>
      </c>
      <c r="AG15" s="3" t="e">
        <f t="shared" ca="1" si="44"/>
        <v>#VALUE!</v>
      </c>
      <c r="AH15" s="20" t="e">
        <f t="shared" ca="1" si="45"/>
        <v>#VALUE!</v>
      </c>
      <c r="AI15" s="20" t="e">
        <f t="shared" ca="1" si="46"/>
        <v>#VALUE!</v>
      </c>
      <c r="AJ15" s="3" t="str">
        <f>IF(Data!$D$29="","",IF(AND($C15="",$D15="",$E15="",$G15="",$H15="",$I15=""),"",IF(AND(AE15="Inside",AG15="Yes",AI15&gt;0),"Yes - "&amp;ROUND(AI15,2)&amp;" ft","No")))</f>
        <v/>
      </c>
      <c r="AK15" s="3" t="str">
        <f ca="1">IF(0-Data!$O$47/2&gt;W15,"Behind",IF(Data!$O$47/2+4000&lt;W15,"Beyond","Inside"))</f>
        <v>Beyond</v>
      </c>
      <c r="AL15" s="3" t="e">
        <f t="shared" ca="1" si="47"/>
        <v>#VALUE!</v>
      </c>
      <c r="AM15" s="20" t="e">
        <f t="shared" ca="1" si="48"/>
        <v>#VALUE!</v>
      </c>
      <c r="AN15" s="20" t="e">
        <f t="shared" ca="1" si="49"/>
        <v>#VALUE!</v>
      </c>
      <c r="AO15" s="3" t="str">
        <f>IF(Data!$D$29="","",IF(AND($C15="",$D15="",$E15="",$G15="",$H15="",$I15=""),"",IF(AND(AK15="Inside",AL15="Yes",AN15&gt;0),"Yes - "&amp;ROUND(AN15,2)&amp;" ft","No")))</f>
        <v/>
      </c>
      <c r="AP15" s="72" t="str">
        <f t="shared" si="50"/>
        <v/>
      </c>
      <c r="AQ15" s="72" t="str">
        <f t="shared" si="51"/>
        <v/>
      </c>
      <c r="AR15" s="72" t="str">
        <f ca="1">IF(Data!$O$47/2+4000&lt;AP15,"Beyond",IF(Data!$O$47/2&gt;AP15,"Behind","Inside"))</f>
        <v>Beyond</v>
      </c>
      <c r="AS15" s="72" t="e">
        <f ca="1">IF((TAN(Data!$AA$5*PI()/180)*AP15)+(Data!$O$47/2)&lt;Data!$O$47/2,Data!$O$47/2,IF((TAN(Data!$AA$5*PI()/180)*AP15)+(Data!$O$47/2)&gt;250,250,(TAN(Data!$AA$5*PI()/180)*AP15)+(Data!$O$47/2)))</f>
        <v>#VALUE!</v>
      </c>
      <c r="AT15" s="72" t="str">
        <f t="shared" ca="1" si="52"/>
        <v>No</v>
      </c>
      <c r="AU15" s="72" t="e">
        <f ca="1">IF(((AP15-(Data!$O$47/2))/8)&gt;0,((AP15-(Data!$O$47/2))/8),0)</f>
        <v>#VALUE!</v>
      </c>
      <c r="AV15" s="72" t="e">
        <f t="shared" ca="1" si="53"/>
        <v>#VALUE!</v>
      </c>
      <c r="AW15" s="72" t="str">
        <f>IF(Data!$D$30="","",IF(AND($C15="",$D15="",$E15="",$G15="",$H15="",$I15=""),"",IF(AND(AR15="Inside",AT15="Yes",AV15&gt;0),"Yes - "&amp;ROUND(AV15,2)&amp;" ft","No")))</f>
        <v/>
      </c>
      <c r="AX15" s="72" t="str">
        <f ca="1">IF(Data!$O$47/2+2000&lt;AP15,"Beyond",IF(Data!$O$47/2&gt;AP15,"Behind","Inside"))</f>
        <v>Beyond</v>
      </c>
      <c r="AY15" s="72" t="e">
        <f ca="1">(TAN(Data!$AA$12*PI()/180)*AP15)+(Data!$O$47/2)</f>
        <v>#VALUE!</v>
      </c>
      <c r="AZ15" s="72" t="e">
        <f t="shared" ca="1" si="54"/>
        <v>#VALUE!</v>
      </c>
      <c r="BA15" s="72" t="e">
        <f t="shared" ca="1" si="55"/>
        <v>#VALUE!</v>
      </c>
      <c r="BB15" s="72" t="e">
        <f t="shared" ca="1" si="56"/>
        <v>#VALUE!</v>
      </c>
      <c r="BC15" s="72" t="str">
        <f>IF(Data!$D$30="","",IF(AND($C15="",$D15="",$E15="",$G15="",$H15="",$I15=""),"",IF(AND(AX15="Inside",AZ15="Yes",BB15&gt;0),"Yes - "&amp;ROUND(BB15,2)&amp;" ft","No")))</f>
        <v/>
      </c>
      <c r="BD15" s="72" t="str">
        <f ca="1">IF(0-Data!$O$47/2&gt;AP15,"Behind",IF(Data!$O$47/2+4000&lt;AP15,"Beyond","Inside"))</f>
        <v>Beyond</v>
      </c>
      <c r="BE15" s="72" t="e">
        <f t="shared" ca="1" si="57"/>
        <v>#VALUE!</v>
      </c>
      <c r="BF15" s="72" t="e">
        <f t="shared" ca="1" si="58"/>
        <v>#VALUE!</v>
      </c>
      <c r="BG15" s="72" t="e">
        <f t="shared" ca="1" si="59"/>
        <v>#VALUE!</v>
      </c>
      <c r="BH15" s="72" t="str">
        <f>IF(Data!$D$30="","",IF(AND($C15="",$D15="",$E15="",$G15="",$H15="",$I15=""),"",IF(AND(BD15="Inside",BE15="Yes",BG15&gt;0),"Yes - "&amp;ROUND(BG15,2)&amp;" ft","No")))</f>
        <v/>
      </c>
      <c r="BI15" s="3" t="str">
        <f t="shared" si="60"/>
        <v/>
      </c>
      <c r="BJ15" s="3" t="str">
        <f t="shared" si="61"/>
        <v/>
      </c>
      <c r="BK15" s="3" t="str">
        <f ca="1">IF(Data!$O$47/2+4000&lt;BI15,"Beyond",IF(Data!$O$47/2&gt;BI15,"Behind","Inside"))</f>
        <v>Beyond</v>
      </c>
      <c r="BL15" s="20" t="e">
        <f ca="1">IF((TAN(Data!$AA$5*PI()/180)*BI15)+(Data!$O$47/2)&lt;Data!$O$47/2,Data!$O$47/2,IF((TAN(Data!$AA$5*PI()/180)*BI15)+(Data!$O$47/2)&gt;250,250,(TAN(Data!$AA$5*PI()/180)*BI15)+(Data!$O$47/2)))</f>
        <v>#VALUE!</v>
      </c>
      <c r="BM15" s="3" t="str">
        <f t="shared" ca="1" si="62"/>
        <v>No</v>
      </c>
      <c r="BN15" s="20" t="e">
        <f ca="1">IF(((BI15-(Data!$O$47/2))/8)&gt;0,((BI15-(Data!$O$47/2))/8),0)</f>
        <v>#VALUE!</v>
      </c>
      <c r="BO15" s="20" t="e">
        <f t="shared" ca="1" si="63"/>
        <v>#VALUE!</v>
      </c>
      <c r="BP15" s="3" t="str">
        <f>IF(Data!$D$31="","",IF(AND($C15="",$D15="",$E15="",$G15="",$H15="",$I15=""),"",IF(AND(BK15="Inside",BM15="Yes",BO15&gt;0),"Yes - "&amp;ROUND(BO15,2)&amp;" ft","No")))</f>
        <v/>
      </c>
      <c r="BQ15" s="3" t="str">
        <f ca="1">IF(Data!$O$47/2+2000&lt;BI15,"Beyond",IF(Data!$O$47/2&gt;BI15,"Behind","Inside"))</f>
        <v>Beyond</v>
      </c>
      <c r="BR15" s="20" t="e">
        <f ca="1">(TAN(Data!$AA$12*PI()/180)*BI15)+(Data!$O$47/2)</f>
        <v>#VALUE!</v>
      </c>
      <c r="BS15" s="3" t="e">
        <f t="shared" ca="1" si="64"/>
        <v>#VALUE!</v>
      </c>
      <c r="BT15" s="20" t="e">
        <f t="shared" ca="1" si="65"/>
        <v>#VALUE!</v>
      </c>
      <c r="BU15" s="20" t="e">
        <f t="shared" ca="1" si="66"/>
        <v>#VALUE!</v>
      </c>
      <c r="BV15" s="3" t="str">
        <f>IF(Data!$D$31="","",IF(AND($C15="",$D15="",$E15="",$G15="",$H15="",$I15=""),"",IF(AND(BQ15="Inside",BS15="Yes",BU15&gt;0),"Yes - "&amp;ROUND(BU15,2)&amp;" ft","No")))</f>
        <v/>
      </c>
      <c r="BW15" s="3" t="str">
        <f ca="1">IF(0-Data!$O$47/2&gt;BI15,"Behind",IF(Data!$O$47/2+4000&lt;BI15,"Beyond","Inside"))</f>
        <v>Beyond</v>
      </c>
      <c r="BX15" s="3" t="e">
        <f t="shared" ca="1" si="67"/>
        <v>#VALUE!</v>
      </c>
      <c r="BY15" s="20" t="e">
        <f t="shared" ca="1" si="68"/>
        <v>#VALUE!</v>
      </c>
      <c r="BZ15" s="20" t="e">
        <f t="shared" ca="1" si="69"/>
        <v>#VALUE!</v>
      </c>
      <c r="CA15" s="3" t="str">
        <f>IF(Data!$D$31="","",IF(AND($C15="",$D15="",$E15="",$G15="",$H15="",$I15=""),"",IF(AND(BW15="Inside",BX15="Yes",BZ15&gt;0),"Yes - "&amp;ROUND(BZ15,2)&amp;" ft","No")))</f>
        <v/>
      </c>
      <c r="CB15" s="9"/>
      <c r="CC15" t="str">
        <f t="shared" si="70"/>
        <v>No</v>
      </c>
      <c r="CD15" s="62" t="s">
        <v>521</v>
      </c>
      <c r="CE15" s="63">
        <f t="shared" si="7"/>
        <v>0</v>
      </c>
      <c r="CF15" s="63">
        <f t="shared" si="5"/>
        <v>260330.3</v>
      </c>
      <c r="CG15" s="63">
        <f t="shared" si="6"/>
        <v>800803.59</v>
      </c>
      <c r="CH15" s="63">
        <f t="shared" si="24"/>
        <v>354</v>
      </c>
      <c r="CI15" s="63">
        <f t="shared" si="9"/>
        <v>0</v>
      </c>
      <c r="CJ15" s="63">
        <f t="shared" si="10"/>
        <v>0.45480516874807703</v>
      </c>
      <c r="CK15" s="63">
        <f t="shared" si="11"/>
        <v>1.39860791215351</v>
      </c>
      <c r="CL15" s="63">
        <f t="shared" si="25"/>
        <v>354</v>
      </c>
      <c r="CM15" s="63">
        <f t="shared" si="26"/>
        <v>6.1784655520599303</v>
      </c>
      <c r="CN15" s="63">
        <f t="shared" si="12"/>
        <v>0</v>
      </c>
      <c r="CO15" s="63">
        <f t="shared" si="13"/>
        <v>1.00543891812539</v>
      </c>
      <c r="CP15" s="63">
        <f t="shared" si="14"/>
        <v>0</v>
      </c>
      <c r="CQ15" s="63">
        <f t="shared" si="15"/>
        <v>0.45480516874807703</v>
      </c>
      <c r="CR15" s="63">
        <f t="shared" si="16"/>
        <v>0</v>
      </c>
      <c r="CS15" s="63">
        <f t="shared" si="17"/>
        <v>0.45480516874807703</v>
      </c>
      <c r="CT15" s="63">
        <f t="shared" si="18"/>
        <v>1.39860791215351</v>
      </c>
      <c r="CU15" s="63">
        <f t="shared" si="19"/>
        <v>9.3200582056497208</v>
      </c>
      <c r="CV15" s="63">
        <f t="shared" si="20"/>
        <v>26.058416670000021</v>
      </c>
      <c r="CW15" s="63">
        <f t="shared" si="21"/>
        <v>80.134330559999924</v>
      </c>
      <c r="CX15" s="63">
        <f t="shared" si="22"/>
        <v>260330.30001199999</v>
      </c>
      <c r="CY15" s="63">
        <f t="shared" si="23"/>
        <v>800803.59001599997</v>
      </c>
    </row>
    <row r="16" spans="1:103" x14ac:dyDescent="0.25">
      <c r="A16" s="67">
        <v>6</v>
      </c>
      <c r="B16" s="84"/>
      <c r="C16" s="84"/>
      <c r="D16" s="84"/>
      <c r="E16" s="84"/>
      <c r="F16" s="109" t="str">
        <f t="shared" si="27"/>
        <v/>
      </c>
      <c r="G16" s="81"/>
      <c r="H16" s="81"/>
      <c r="I16" s="85"/>
      <c r="J16" s="77" t="str">
        <f t="shared" si="28"/>
        <v/>
      </c>
      <c r="K16" s="77" t="str">
        <f t="shared" si="29"/>
        <v/>
      </c>
      <c r="L16" s="77" t="str">
        <f t="shared" si="30"/>
        <v/>
      </c>
      <c r="M16" s="79" t="str">
        <f t="shared" si="31"/>
        <v/>
      </c>
      <c r="N16" s="79" t="str">
        <f t="shared" si="32"/>
        <v/>
      </c>
      <c r="O16" s="79" t="str">
        <f t="shared" si="33"/>
        <v/>
      </c>
      <c r="P16" s="77" t="str">
        <f t="shared" si="34"/>
        <v/>
      </c>
      <c r="Q16" s="77" t="str">
        <f t="shared" si="35"/>
        <v/>
      </c>
      <c r="R16" s="77" t="str">
        <f t="shared" si="36"/>
        <v/>
      </c>
      <c r="S16" s="8"/>
      <c r="T16" s="74">
        <f t="shared" si="37"/>
        <v>-80.134330559999924</v>
      </c>
      <c r="U16" s="66">
        <f t="shared" si="38"/>
        <v>26.058416670000021</v>
      </c>
      <c r="V16" s="66">
        <f t="shared" si="39"/>
        <v>1.524</v>
      </c>
      <c r="W16" s="3" t="str">
        <f t="shared" si="40"/>
        <v/>
      </c>
      <c r="X16" s="3" t="str">
        <f t="shared" si="41"/>
        <v/>
      </c>
      <c r="Y16" s="3" t="str">
        <f ca="1">IF(Data!$O$47/2+4000&lt;W16,"Beyond",IF(Data!$O$47/2&gt;W16,"Behind","Inside"))</f>
        <v>Beyond</v>
      </c>
      <c r="Z16" s="20" t="e">
        <f ca="1">IF((TAN(Data!$AA$5*PI()/180)*W16)+(Data!$O$47/2)&lt;Data!$O$47/2,Data!$O$47/2,IF((TAN(Data!$AA$5*PI()/180)*W16)+(Data!$O$47/2)&gt;250,250,(TAN(Data!$AA$5*PI()/180)*W16)+(Data!$O$47/2)))</f>
        <v>#VALUE!</v>
      </c>
      <c r="AA16" s="3" t="str">
        <f t="shared" ca="1" si="42"/>
        <v>No</v>
      </c>
      <c r="AB16" s="20" t="e">
        <f ca="1">IF(((W16-(Data!$O$47/2))/8)&gt;0,((W16-(Data!$O$47/2))/8),0)</f>
        <v>#VALUE!</v>
      </c>
      <c r="AC16" s="20" t="e">
        <f t="shared" ca="1" si="43"/>
        <v>#VALUE!</v>
      </c>
      <c r="AD16" s="3" t="str">
        <f>IF(Data!$D$29="","",IF(AND($C16="",$D16="",$E16="",$G16="",$H16="",$I16=""),"",IF(AND(Y16="Inside",AA16="Yes",AC16&gt;0),"Yes - "&amp;ROUND(AC16,2)&amp;" ft","No")))</f>
        <v/>
      </c>
      <c r="AE16" s="3" t="str">
        <f ca="1">IF(Data!$O$47/2+2000&lt;W16,"Beyond",IF(Data!$O$47/2&gt;W16,"Behind","Inside"))</f>
        <v>Beyond</v>
      </c>
      <c r="AF16" s="20" t="e">
        <f ca="1">(TAN(Data!$AA$12*PI()/180)*W16)+(Data!$O$47/2)</f>
        <v>#VALUE!</v>
      </c>
      <c r="AG16" s="3" t="e">
        <f t="shared" ca="1" si="44"/>
        <v>#VALUE!</v>
      </c>
      <c r="AH16" s="20" t="e">
        <f t="shared" ca="1" si="45"/>
        <v>#VALUE!</v>
      </c>
      <c r="AI16" s="20" t="e">
        <f t="shared" ca="1" si="46"/>
        <v>#VALUE!</v>
      </c>
      <c r="AJ16" s="3" t="str">
        <f>IF(Data!$D$29="","",IF(AND($C16="",$D16="",$E16="",$G16="",$H16="",$I16=""),"",IF(AND(AE16="Inside",AG16="Yes",AI16&gt;0),"Yes - "&amp;ROUND(AI16,2)&amp;" ft","No")))</f>
        <v/>
      </c>
      <c r="AK16" s="3" t="str">
        <f ca="1">IF(0-Data!$O$47/2&gt;W16,"Behind",IF(Data!$O$47/2+4000&lt;W16,"Beyond","Inside"))</f>
        <v>Beyond</v>
      </c>
      <c r="AL16" s="3" t="e">
        <f t="shared" ca="1" si="47"/>
        <v>#VALUE!</v>
      </c>
      <c r="AM16" s="20" t="e">
        <f t="shared" ca="1" si="48"/>
        <v>#VALUE!</v>
      </c>
      <c r="AN16" s="20" t="e">
        <f t="shared" ca="1" si="49"/>
        <v>#VALUE!</v>
      </c>
      <c r="AO16" s="3" t="str">
        <f>IF(Data!$D$29="","",IF(AND($C16="",$D16="",$E16="",$G16="",$H16="",$I16=""),"",IF(AND(AK16="Inside",AL16="Yes",AN16&gt;0),"Yes - "&amp;ROUND(AN16,2)&amp;" ft","No")))</f>
        <v/>
      </c>
      <c r="AP16" s="72" t="str">
        <f t="shared" si="50"/>
        <v/>
      </c>
      <c r="AQ16" s="72" t="str">
        <f t="shared" si="51"/>
        <v/>
      </c>
      <c r="AR16" s="72" t="str">
        <f ca="1">IF(Data!$O$47/2+4000&lt;AP16,"Beyond",IF(Data!$O$47/2&gt;AP16,"Behind","Inside"))</f>
        <v>Beyond</v>
      </c>
      <c r="AS16" s="72" t="e">
        <f ca="1">IF((TAN(Data!$AA$5*PI()/180)*AP16)+(Data!$O$47/2)&lt;Data!$O$47/2,Data!$O$47/2,IF((TAN(Data!$AA$5*PI()/180)*AP16)+(Data!$O$47/2)&gt;250,250,(TAN(Data!$AA$5*PI()/180)*AP16)+(Data!$O$47/2)))</f>
        <v>#VALUE!</v>
      </c>
      <c r="AT16" s="72" t="str">
        <f t="shared" ca="1" si="52"/>
        <v>No</v>
      </c>
      <c r="AU16" s="72" t="e">
        <f ca="1">IF(((AP16-(Data!$O$47/2))/8)&gt;0,((AP16-(Data!$O$47/2))/8),0)</f>
        <v>#VALUE!</v>
      </c>
      <c r="AV16" s="72" t="e">
        <f t="shared" ca="1" si="53"/>
        <v>#VALUE!</v>
      </c>
      <c r="AW16" s="72" t="str">
        <f>IF(Data!$D$30="","",IF(AND($C16="",$D16="",$E16="",$G16="",$H16="",$I16=""),"",IF(AND(AR16="Inside",AT16="Yes",AV16&gt;0),"Yes - "&amp;ROUND(AV16,2)&amp;" ft","No")))</f>
        <v/>
      </c>
      <c r="AX16" s="72" t="str">
        <f ca="1">IF(Data!$O$47/2+2000&lt;AP16,"Beyond",IF(Data!$O$47/2&gt;AP16,"Behind","Inside"))</f>
        <v>Beyond</v>
      </c>
      <c r="AY16" s="72" t="e">
        <f ca="1">(TAN(Data!$AA$12*PI()/180)*AP16)+(Data!$O$47/2)</f>
        <v>#VALUE!</v>
      </c>
      <c r="AZ16" s="72" t="e">
        <f t="shared" ca="1" si="54"/>
        <v>#VALUE!</v>
      </c>
      <c r="BA16" s="72" t="e">
        <f t="shared" ca="1" si="55"/>
        <v>#VALUE!</v>
      </c>
      <c r="BB16" s="72" t="e">
        <f t="shared" ca="1" si="56"/>
        <v>#VALUE!</v>
      </c>
      <c r="BC16" s="72" t="str">
        <f>IF(Data!$D$30="","",IF(AND($C16="",$D16="",$E16="",$G16="",$H16="",$I16=""),"",IF(AND(AX16="Inside",AZ16="Yes",BB16&gt;0),"Yes - "&amp;ROUND(BB16,2)&amp;" ft","No")))</f>
        <v/>
      </c>
      <c r="BD16" s="72" t="str">
        <f ca="1">IF(0-Data!$O$47/2&gt;AP16,"Behind",IF(Data!$O$47/2+4000&lt;AP16,"Beyond","Inside"))</f>
        <v>Beyond</v>
      </c>
      <c r="BE16" s="72" t="e">
        <f t="shared" ca="1" si="57"/>
        <v>#VALUE!</v>
      </c>
      <c r="BF16" s="72" t="e">
        <f t="shared" ca="1" si="58"/>
        <v>#VALUE!</v>
      </c>
      <c r="BG16" s="72" t="e">
        <f t="shared" ca="1" si="59"/>
        <v>#VALUE!</v>
      </c>
      <c r="BH16" s="72" t="str">
        <f>IF(Data!$D$30="","",IF(AND($C16="",$D16="",$E16="",$G16="",$H16="",$I16=""),"",IF(AND(BD16="Inside",BE16="Yes",BG16&gt;0),"Yes - "&amp;ROUND(BG16,2)&amp;" ft","No")))</f>
        <v/>
      </c>
      <c r="BI16" s="3" t="str">
        <f t="shared" si="60"/>
        <v/>
      </c>
      <c r="BJ16" s="3" t="str">
        <f t="shared" si="61"/>
        <v/>
      </c>
      <c r="BK16" s="3" t="str">
        <f ca="1">IF(Data!$O$47/2+4000&lt;BI16,"Beyond",IF(Data!$O$47/2&gt;BI16,"Behind","Inside"))</f>
        <v>Beyond</v>
      </c>
      <c r="BL16" s="20" t="e">
        <f ca="1">IF((TAN(Data!$AA$5*PI()/180)*BI16)+(Data!$O$47/2)&lt;Data!$O$47/2,Data!$O$47/2,IF((TAN(Data!$AA$5*PI()/180)*BI16)+(Data!$O$47/2)&gt;250,250,(TAN(Data!$AA$5*PI()/180)*BI16)+(Data!$O$47/2)))</f>
        <v>#VALUE!</v>
      </c>
      <c r="BM16" s="3" t="str">
        <f t="shared" ca="1" si="62"/>
        <v>No</v>
      </c>
      <c r="BN16" s="20" t="e">
        <f ca="1">IF(((BI16-(Data!$O$47/2))/8)&gt;0,((BI16-(Data!$O$47/2))/8),0)</f>
        <v>#VALUE!</v>
      </c>
      <c r="BO16" s="20" t="e">
        <f t="shared" ca="1" si="63"/>
        <v>#VALUE!</v>
      </c>
      <c r="BP16" s="3" t="str">
        <f>IF(Data!$D$31="","",IF(AND($C16="",$D16="",$E16="",$G16="",$H16="",$I16=""),"",IF(AND(BK16="Inside",BM16="Yes",BO16&gt;0),"Yes - "&amp;ROUND(BO16,2)&amp;" ft","No")))</f>
        <v/>
      </c>
      <c r="BQ16" s="3" t="str">
        <f ca="1">IF(Data!$O$47/2+2000&lt;BI16,"Beyond",IF(Data!$O$47/2&gt;BI16,"Behind","Inside"))</f>
        <v>Beyond</v>
      </c>
      <c r="BR16" s="20" t="e">
        <f ca="1">(TAN(Data!$AA$12*PI()/180)*BI16)+(Data!$O$47/2)</f>
        <v>#VALUE!</v>
      </c>
      <c r="BS16" s="3" t="e">
        <f t="shared" ca="1" si="64"/>
        <v>#VALUE!</v>
      </c>
      <c r="BT16" s="20" t="e">
        <f t="shared" ca="1" si="65"/>
        <v>#VALUE!</v>
      </c>
      <c r="BU16" s="20" t="e">
        <f t="shared" ca="1" si="66"/>
        <v>#VALUE!</v>
      </c>
      <c r="BV16" s="3" t="str">
        <f>IF(Data!$D$31="","",IF(AND($C16="",$D16="",$E16="",$G16="",$H16="",$I16=""),"",IF(AND(BQ16="Inside",BS16="Yes",BU16&gt;0),"Yes - "&amp;ROUND(BU16,2)&amp;" ft","No")))</f>
        <v/>
      </c>
      <c r="BW16" s="3" t="str">
        <f ca="1">IF(0-Data!$O$47/2&gt;BI16,"Behind",IF(Data!$O$47/2+4000&lt;BI16,"Beyond","Inside"))</f>
        <v>Beyond</v>
      </c>
      <c r="BX16" s="3" t="e">
        <f t="shared" ca="1" si="67"/>
        <v>#VALUE!</v>
      </c>
      <c r="BY16" s="20" t="e">
        <f t="shared" ca="1" si="68"/>
        <v>#VALUE!</v>
      </c>
      <c r="BZ16" s="20" t="e">
        <f t="shared" ca="1" si="69"/>
        <v>#VALUE!</v>
      </c>
      <c r="CA16" s="3" t="str">
        <f>IF(Data!$D$31="","",IF(AND($C16="",$D16="",$E16="",$G16="",$H16="",$I16=""),"",IF(AND(BW16="Inside",BX16="Yes",BZ16&gt;0),"Yes - "&amp;ROUND(BZ16,2)&amp;" ft","No")))</f>
        <v/>
      </c>
      <c r="CB16" s="9"/>
      <c r="CC16" t="str">
        <f t="shared" si="70"/>
        <v>No</v>
      </c>
      <c r="CD16" s="62" t="s">
        <v>522</v>
      </c>
      <c r="CE16" s="63">
        <f t="shared" si="7"/>
        <v>0</v>
      </c>
      <c r="CF16" s="63">
        <f t="shared" si="5"/>
        <v>260330.3</v>
      </c>
      <c r="CG16" s="63">
        <f t="shared" si="6"/>
        <v>800803.59</v>
      </c>
      <c r="CH16" s="63">
        <f t="shared" si="24"/>
        <v>354</v>
      </c>
      <c r="CI16" s="63">
        <f t="shared" si="9"/>
        <v>0</v>
      </c>
      <c r="CJ16" s="63">
        <f t="shared" si="10"/>
        <v>0.45480516874807703</v>
      </c>
      <c r="CK16" s="63">
        <f t="shared" si="11"/>
        <v>1.39860791215351</v>
      </c>
      <c r="CL16" s="63">
        <f t="shared" si="25"/>
        <v>354</v>
      </c>
      <c r="CM16" s="63">
        <f t="shared" si="26"/>
        <v>6.1784655520599303</v>
      </c>
      <c r="CN16" s="63">
        <f t="shared" si="12"/>
        <v>0</v>
      </c>
      <c r="CO16" s="63">
        <f t="shared" si="13"/>
        <v>1.00543891812539</v>
      </c>
      <c r="CP16" s="63">
        <f t="shared" si="14"/>
        <v>0</v>
      </c>
      <c r="CQ16" s="63">
        <f t="shared" si="15"/>
        <v>0.45480516874807703</v>
      </c>
      <c r="CR16" s="63">
        <f t="shared" si="16"/>
        <v>0</v>
      </c>
      <c r="CS16" s="63">
        <f t="shared" si="17"/>
        <v>0.45480516874807703</v>
      </c>
      <c r="CT16" s="63">
        <f t="shared" si="18"/>
        <v>1.39860791215351</v>
      </c>
      <c r="CU16" s="63">
        <f t="shared" si="19"/>
        <v>9.3200582056497208</v>
      </c>
      <c r="CV16" s="63">
        <f t="shared" si="20"/>
        <v>26.058416670000021</v>
      </c>
      <c r="CW16" s="63">
        <f t="shared" si="21"/>
        <v>80.134330559999924</v>
      </c>
      <c r="CX16" s="63">
        <f t="shared" si="22"/>
        <v>260330.30001199999</v>
      </c>
      <c r="CY16" s="63">
        <f t="shared" si="23"/>
        <v>800803.59001599997</v>
      </c>
    </row>
    <row r="17" spans="1:103" x14ac:dyDescent="0.25">
      <c r="A17" s="67">
        <v>7</v>
      </c>
      <c r="B17" s="84"/>
      <c r="C17" s="84"/>
      <c r="D17" s="84"/>
      <c r="E17" s="81"/>
      <c r="F17" s="109" t="str">
        <f t="shared" si="27"/>
        <v/>
      </c>
      <c r="G17" s="81"/>
      <c r="H17" s="81"/>
      <c r="I17" s="85"/>
      <c r="J17" s="77" t="str">
        <f t="shared" si="28"/>
        <v/>
      </c>
      <c r="K17" s="77" t="str">
        <f t="shared" si="29"/>
        <v/>
      </c>
      <c r="L17" s="77" t="str">
        <f t="shared" si="30"/>
        <v/>
      </c>
      <c r="M17" s="79" t="str">
        <f t="shared" si="31"/>
        <v/>
      </c>
      <c r="N17" s="79" t="str">
        <f t="shared" si="32"/>
        <v/>
      </c>
      <c r="O17" s="79" t="str">
        <f t="shared" si="33"/>
        <v/>
      </c>
      <c r="P17" s="77" t="str">
        <f t="shared" si="34"/>
        <v/>
      </c>
      <c r="Q17" s="77" t="str">
        <f t="shared" si="35"/>
        <v/>
      </c>
      <c r="R17" s="77" t="str">
        <f t="shared" si="36"/>
        <v/>
      </c>
      <c r="S17" s="8"/>
      <c r="T17" s="74">
        <f t="shared" si="37"/>
        <v>-80.134330559999924</v>
      </c>
      <c r="U17" s="66">
        <f t="shared" si="38"/>
        <v>26.058416670000021</v>
      </c>
      <c r="V17" s="66">
        <f t="shared" si="39"/>
        <v>1.524</v>
      </c>
      <c r="W17" s="3" t="str">
        <f t="shared" si="40"/>
        <v/>
      </c>
      <c r="X17" s="3" t="str">
        <f t="shared" si="41"/>
        <v/>
      </c>
      <c r="Y17" s="3" t="str">
        <f ca="1">IF(Data!$O$47/2+4000&lt;W17,"Beyond",IF(Data!$O$47/2&gt;W17,"Behind","Inside"))</f>
        <v>Beyond</v>
      </c>
      <c r="Z17" s="20" t="e">
        <f ca="1">IF((TAN(Data!$AA$5*PI()/180)*W17)+(Data!$O$47/2)&lt;Data!$O$47/2,Data!$O$47/2,IF((TAN(Data!$AA$5*PI()/180)*W17)+(Data!$O$47/2)&gt;250,250,(TAN(Data!$AA$5*PI()/180)*W17)+(Data!$O$47/2)))</f>
        <v>#VALUE!</v>
      </c>
      <c r="AA17" s="3" t="str">
        <f t="shared" ca="1" si="42"/>
        <v>No</v>
      </c>
      <c r="AB17" s="20" t="e">
        <f ca="1">IF(((W17-(Data!$O$47/2))/8)&gt;0,((W17-(Data!$O$47/2))/8),0)</f>
        <v>#VALUE!</v>
      </c>
      <c r="AC17" s="20" t="e">
        <f t="shared" ca="1" si="43"/>
        <v>#VALUE!</v>
      </c>
      <c r="AD17" s="3" t="str">
        <f>IF(Data!$D$29="","",IF(AND($C17="",$D17="",$E17="",$G17="",$H17="",$I17=""),"",IF(AND(Y17="Inside",AA17="Yes",AC17&gt;0),"Yes - "&amp;ROUND(AC17,2)&amp;" ft","No")))</f>
        <v/>
      </c>
      <c r="AE17" s="3" t="str">
        <f ca="1">IF(Data!$O$47/2+2000&lt;W17,"Beyond",IF(Data!$O$47/2&gt;W17,"Behind","Inside"))</f>
        <v>Beyond</v>
      </c>
      <c r="AF17" s="20" t="e">
        <f ca="1">(TAN(Data!$AA$12*PI()/180)*W17)+(Data!$O$47/2)</f>
        <v>#VALUE!</v>
      </c>
      <c r="AG17" s="3" t="e">
        <f t="shared" ca="1" si="44"/>
        <v>#VALUE!</v>
      </c>
      <c r="AH17" s="20" t="e">
        <f t="shared" ca="1" si="45"/>
        <v>#VALUE!</v>
      </c>
      <c r="AI17" s="20" t="e">
        <f t="shared" ca="1" si="46"/>
        <v>#VALUE!</v>
      </c>
      <c r="AJ17" s="3" t="str">
        <f>IF(Data!$D$29="","",IF(AND($C17="",$D17="",$E17="",$G17="",$H17="",$I17=""),"",IF(AND(AE17="Inside",AG17="Yes",AI17&gt;0),"Yes - "&amp;ROUND(AI17,2)&amp;" ft","No")))</f>
        <v/>
      </c>
      <c r="AK17" s="3" t="str">
        <f ca="1">IF(0-Data!$O$47/2&gt;W17,"Behind",IF(Data!$O$47/2+4000&lt;W17,"Beyond","Inside"))</f>
        <v>Beyond</v>
      </c>
      <c r="AL17" s="3" t="e">
        <f t="shared" ca="1" si="47"/>
        <v>#VALUE!</v>
      </c>
      <c r="AM17" s="20" t="e">
        <f t="shared" ca="1" si="48"/>
        <v>#VALUE!</v>
      </c>
      <c r="AN17" s="20" t="e">
        <f t="shared" ca="1" si="49"/>
        <v>#VALUE!</v>
      </c>
      <c r="AO17" s="3" t="str">
        <f>IF(Data!$D$29="","",IF(AND($C17="",$D17="",$E17="",$G17="",$H17="",$I17=""),"",IF(AND(AK17="Inside",AL17="Yes",AN17&gt;0),"Yes - "&amp;ROUND(AN17,2)&amp;" ft","No")))</f>
        <v/>
      </c>
      <c r="AP17" s="72" t="str">
        <f t="shared" si="50"/>
        <v/>
      </c>
      <c r="AQ17" s="72" t="str">
        <f t="shared" si="51"/>
        <v/>
      </c>
      <c r="AR17" s="72" t="str">
        <f ca="1">IF(Data!$O$47/2+4000&lt;AP17,"Beyond",IF(Data!$O$47/2&gt;AP17,"Behind","Inside"))</f>
        <v>Beyond</v>
      </c>
      <c r="AS17" s="72" t="e">
        <f ca="1">IF((TAN(Data!$AA$5*PI()/180)*AP17)+(Data!$O$47/2)&lt;Data!$O$47/2,Data!$O$47/2,IF((TAN(Data!$AA$5*PI()/180)*AP17)+(Data!$O$47/2)&gt;250,250,(TAN(Data!$AA$5*PI()/180)*AP17)+(Data!$O$47/2)))</f>
        <v>#VALUE!</v>
      </c>
      <c r="AT17" s="72" t="str">
        <f t="shared" ca="1" si="52"/>
        <v>No</v>
      </c>
      <c r="AU17" s="72" t="e">
        <f ca="1">IF(((AP17-(Data!$O$47/2))/8)&gt;0,((AP17-(Data!$O$47/2))/8),0)</f>
        <v>#VALUE!</v>
      </c>
      <c r="AV17" s="72" t="e">
        <f t="shared" ca="1" si="53"/>
        <v>#VALUE!</v>
      </c>
      <c r="AW17" s="72" t="str">
        <f>IF(Data!$D$30="","",IF(AND($C17="",$D17="",$E17="",$G17="",$H17="",$I17=""),"",IF(AND(AR17="Inside",AT17="Yes",AV17&gt;0),"Yes - "&amp;ROUND(AV17,2)&amp;" ft","No")))</f>
        <v/>
      </c>
      <c r="AX17" s="72" t="str">
        <f ca="1">IF(Data!$O$47/2+2000&lt;AP17,"Beyond",IF(Data!$O$47/2&gt;AP17,"Behind","Inside"))</f>
        <v>Beyond</v>
      </c>
      <c r="AY17" s="72" t="e">
        <f ca="1">(TAN(Data!$AA$12*PI()/180)*AP17)+(Data!$O$47/2)</f>
        <v>#VALUE!</v>
      </c>
      <c r="AZ17" s="72" t="e">
        <f t="shared" ca="1" si="54"/>
        <v>#VALUE!</v>
      </c>
      <c r="BA17" s="72" t="e">
        <f t="shared" ca="1" si="55"/>
        <v>#VALUE!</v>
      </c>
      <c r="BB17" s="72" t="e">
        <f t="shared" ca="1" si="56"/>
        <v>#VALUE!</v>
      </c>
      <c r="BC17" s="72" t="str">
        <f>IF(Data!$D$30="","",IF(AND($C17="",$D17="",$E17="",$G17="",$H17="",$I17=""),"",IF(AND(AX17="Inside",AZ17="Yes",BB17&gt;0),"Yes - "&amp;ROUND(BB17,2)&amp;" ft","No")))</f>
        <v/>
      </c>
      <c r="BD17" s="72" t="str">
        <f ca="1">IF(0-Data!$O$47/2&gt;AP17,"Behind",IF(Data!$O$47/2+4000&lt;AP17,"Beyond","Inside"))</f>
        <v>Beyond</v>
      </c>
      <c r="BE17" s="72" t="e">
        <f t="shared" ca="1" si="57"/>
        <v>#VALUE!</v>
      </c>
      <c r="BF17" s="72" t="e">
        <f t="shared" ca="1" si="58"/>
        <v>#VALUE!</v>
      </c>
      <c r="BG17" s="72" t="e">
        <f t="shared" ca="1" si="59"/>
        <v>#VALUE!</v>
      </c>
      <c r="BH17" s="72" t="str">
        <f>IF(Data!$D$30="","",IF(AND($C17="",$D17="",$E17="",$G17="",$H17="",$I17=""),"",IF(AND(BD17="Inside",BE17="Yes",BG17&gt;0),"Yes - "&amp;ROUND(BG17,2)&amp;" ft","No")))</f>
        <v/>
      </c>
      <c r="BI17" s="3" t="str">
        <f t="shared" si="60"/>
        <v/>
      </c>
      <c r="BJ17" s="3" t="str">
        <f t="shared" si="61"/>
        <v/>
      </c>
      <c r="BK17" s="3" t="str">
        <f ca="1">IF(Data!$O$47/2+4000&lt;BI17,"Beyond",IF(Data!$O$47/2&gt;BI17,"Behind","Inside"))</f>
        <v>Beyond</v>
      </c>
      <c r="BL17" s="20" t="e">
        <f ca="1">IF((TAN(Data!$AA$5*PI()/180)*BI17)+(Data!$O$47/2)&lt;Data!$O$47/2,Data!$O$47/2,IF((TAN(Data!$AA$5*PI()/180)*BI17)+(Data!$O$47/2)&gt;250,250,(TAN(Data!$AA$5*PI()/180)*BI17)+(Data!$O$47/2)))</f>
        <v>#VALUE!</v>
      </c>
      <c r="BM17" s="3" t="str">
        <f t="shared" ca="1" si="62"/>
        <v>No</v>
      </c>
      <c r="BN17" s="20" t="e">
        <f ca="1">IF(((BI17-(Data!$O$47/2))/8)&gt;0,((BI17-(Data!$O$47/2))/8),0)</f>
        <v>#VALUE!</v>
      </c>
      <c r="BO17" s="20" t="e">
        <f t="shared" ca="1" si="63"/>
        <v>#VALUE!</v>
      </c>
      <c r="BP17" s="3" t="str">
        <f>IF(Data!$D$31="","",IF(AND($C17="",$D17="",$E17="",$G17="",$H17="",$I17=""),"",IF(AND(BK17="Inside",BM17="Yes",BO17&gt;0),"Yes - "&amp;ROUND(BO17,2)&amp;" ft","No")))</f>
        <v/>
      </c>
      <c r="BQ17" s="3" t="str">
        <f ca="1">IF(Data!$O$47/2+2000&lt;BI17,"Beyond",IF(Data!$O$47/2&gt;BI17,"Behind","Inside"))</f>
        <v>Beyond</v>
      </c>
      <c r="BR17" s="20" t="e">
        <f ca="1">(TAN(Data!$AA$12*PI()/180)*BI17)+(Data!$O$47/2)</f>
        <v>#VALUE!</v>
      </c>
      <c r="BS17" s="3" t="e">
        <f t="shared" ca="1" si="64"/>
        <v>#VALUE!</v>
      </c>
      <c r="BT17" s="20" t="e">
        <f t="shared" ca="1" si="65"/>
        <v>#VALUE!</v>
      </c>
      <c r="BU17" s="20" t="e">
        <f t="shared" ca="1" si="66"/>
        <v>#VALUE!</v>
      </c>
      <c r="BV17" s="3" t="str">
        <f>IF(Data!$D$31="","",IF(AND($C17="",$D17="",$E17="",$G17="",$H17="",$I17=""),"",IF(AND(BQ17="Inside",BS17="Yes",BU17&gt;0),"Yes - "&amp;ROUND(BU17,2)&amp;" ft","No")))</f>
        <v/>
      </c>
      <c r="BW17" s="3" t="str">
        <f ca="1">IF(0-Data!$O$47/2&gt;BI17,"Behind",IF(Data!$O$47/2+4000&lt;BI17,"Beyond","Inside"))</f>
        <v>Beyond</v>
      </c>
      <c r="BX17" s="3" t="e">
        <f t="shared" ca="1" si="67"/>
        <v>#VALUE!</v>
      </c>
      <c r="BY17" s="20" t="e">
        <f t="shared" ca="1" si="68"/>
        <v>#VALUE!</v>
      </c>
      <c r="BZ17" s="20" t="e">
        <f t="shared" ca="1" si="69"/>
        <v>#VALUE!</v>
      </c>
      <c r="CA17" s="3" t="str">
        <f>IF(Data!$D$31="","",IF(AND($C17="",$D17="",$E17="",$G17="",$H17="",$I17=""),"",IF(AND(BW17="Inside",BX17="Yes",BZ17&gt;0),"Yes - "&amp;ROUND(BZ17,2)&amp;" ft","No")))</f>
        <v/>
      </c>
      <c r="CB17" s="9"/>
      <c r="CC17" t="str">
        <f t="shared" si="70"/>
        <v>No</v>
      </c>
      <c r="CD17" s="62" t="s">
        <v>523</v>
      </c>
      <c r="CE17" s="63">
        <f t="shared" si="7"/>
        <v>0</v>
      </c>
      <c r="CF17" s="63">
        <f t="shared" si="5"/>
        <v>260330.3</v>
      </c>
      <c r="CG17" s="63">
        <f t="shared" si="6"/>
        <v>800803.59</v>
      </c>
      <c r="CH17" s="63">
        <f t="shared" si="24"/>
        <v>354</v>
      </c>
      <c r="CI17" s="63">
        <f t="shared" si="9"/>
        <v>0</v>
      </c>
      <c r="CJ17" s="63">
        <f t="shared" si="10"/>
        <v>0.45480516874807703</v>
      </c>
      <c r="CK17" s="63">
        <f t="shared" si="11"/>
        <v>1.39860791215351</v>
      </c>
      <c r="CL17" s="63">
        <f t="shared" si="25"/>
        <v>354</v>
      </c>
      <c r="CM17" s="63">
        <f t="shared" si="26"/>
        <v>6.1784655520599303</v>
      </c>
      <c r="CN17" s="63">
        <f t="shared" si="12"/>
        <v>0</v>
      </c>
      <c r="CO17" s="63">
        <f t="shared" si="13"/>
        <v>1.00543891812539</v>
      </c>
      <c r="CP17" s="63">
        <f t="shared" si="14"/>
        <v>0</v>
      </c>
      <c r="CQ17" s="63">
        <f t="shared" si="15"/>
        <v>0.45480516874807703</v>
      </c>
      <c r="CR17" s="63">
        <f t="shared" si="16"/>
        <v>0</v>
      </c>
      <c r="CS17" s="63">
        <f t="shared" si="17"/>
        <v>0.45480516874807703</v>
      </c>
      <c r="CT17" s="63">
        <f t="shared" si="18"/>
        <v>1.39860791215351</v>
      </c>
      <c r="CU17" s="63">
        <f t="shared" si="19"/>
        <v>9.3200582056497208</v>
      </c>
      <c r="CV17" s="63">
        <f t="shared" si="20"/>
        <v>26.058416670000021</v>
      </c>
      <c r="CW17" s="63">
        <f t="shared" si="21"/>
        <v>80.134330559999924</v>
      </c>
      <c r="CX17" s="63">
        <f t="shared" si="22"/>
        <v>260330.30001199999</v>
      </c>
      <c r="CY17" s="63">
        <f t="shared" si="23"/>
        <v>800803.59001599997</v>
      </c>
    </row>
    <row r="18" spans="1:103" x14ac:dyDescent="0.25">
      <c r="A18" s="67">
        <v>8</v>
      </c>
      <c r="B18" s="84"/>
      <c r="C18" s="84"/>
      <c r="D18" s="84"/>
      <c r="E18" s="84"/>
      <c r="F18" s="109" t="str">
        <f t="shared" si="27"/>
        <v/>
      </c>
      <c r="G18" s="81"/>
      <c r="H18" s="81"/>
      <c r="I18" s="85"/>
      <c r="J18" s="77" t="str">
        <f t="shared" si="28"/>
        <v/>
      </c>
      <c r="K18" s="77" t="str">
        <f t="shared" si="29"/>
        <v/>
      </c>
      <c r="L18" s="77" t="str">
        <f t="shared" si="30"/>
        <v/>
      </c>
      <c r="M18" s="79" t="str">
        <f t="shared" si="31"/>
        <v/>
      </c>
      <c r="N18" s="79" t="str">
        <f t="shared" si="32"/>
        <v/>
      </c>
      <c r="O18" s="79" t="str">
        <f t="shared" si="33"/>
        <v/>
      </c>
      <c r="P18" s="77" t="str">
        <f t="shared" si="34"/>
        <v/>
      </c>
      <c r="Q18" s="77" t="str">
        <f t="shared" si="35"/>
        <v/>
      </c>
      <c r="R18" s="77" t="str">
        <f t="shared" si="36"/>
        <v/>
      </c>
      <c r="S18" s="8"/>
      <c r="T18" s="74">
        <f t="shared" si="37"/>
        <v>-80.134330559999924</v>
      </c>
      <c r="U18" s="66">
        <f t="shared" si="38"/>
        <v>26.058416670000021</v>
      </c>
      <c r="V18" s="66">
        <f t="shared" si="39"/>
        <v>1.524</v>
      </c>
      <c r="W18" s="3" t="str">
        <f t="shared" si="40"/>
        <v/>
      </c>
      <c r="X18" s="3" t="str">
        <f t="shared" si="41"/>
        <v/>
      </c>
      <c r="Y18" s="3" t="str">
        <f ca="1">IF(Data!$O$47/2+4000&lt;W18,"Beyond",IF(Data!$O$47/2&gt;W18,"Behind","Inside"))</f>
        <v>Beyond</v>
      </c>
      <c r="Z18" s="20" t="e">
        <f ca="1">IF((TAN(Data!$AA$5*PI()/180)*W18)+(Data!$O$47/2)&lt;Data!$O$47/2,Data!$O$47/2,IF((TAN(Data!$AA$5*PI()/180)*W18)+(Data!$O$47/2)&gt;250,250,(TAN(Data!$AA$5*PI()/180)*W18)+(Data!$O$47/2)))</f>
        <v>#VALUE!</v>
      </c>
      <c r="AA18" s="3" t="str">
        <f t="shared" ca="1" si="42"/>
        <v>No</v>
      </c>
      <c r="AB18" s="20" t="e">
        <f ca="1">IF(((W18-(Data!$O$47/2))/8)&gt;0,((W18-(Data!$O$47/2))/8),0)</f>
        <v>#VALUE!</v>
      </c>
      <c r="AC18" s="20" t="e">
        <f t="shared" ca="1" si="43"/>
        <v>#VALUE!</v>
      </c>
      <c r="AD18" s="3" t="str">
        <f>IF(Data!$D$29="","",IF(AND($C18="",$D18="",$E18="",$G18="",$H18="",$I18=""),"",IF(AND(Y18="Inside",AA18="Yes",AC18&gt;0),"Yes - "&amp;ROUND(AC18,2)&amp;" ft","No")))</f>
        <v/>
      </c>
      <c r="AE18" s="3" t="str">
        <f ca="1">IF(Data!$O$47/2+2000&lt;W18,"Beyond",IF(Data!$O$47/2&gt;W18,"Behind","Inside"))</f>
        <v>Beyond</v>
      </c>
      <c r="AF18" s="20" t="e">
        <f ca="1">(TAN(Data!$AA$12*PI()/180)*W18)+(Data!$O$47/2)</f>
        <v>#VALUE!</v>
      </c>
      <c r="AG18" s="3" t="e">
        <f t="shared" ca="1" si="44"/>
        <v>#VALUE!</v>
      </c>
      <c r="AH18" s="20" t="e">
        <f t="shared" ca="1" si="45"/>
        <v>#VALUE!</v>
      </c>
      <c r="AI18" s="20" t="e">
        <f t="shared" ca="1" si="46"/>
        <v>#VALUE!</v>
      </c>
      <c r="AJ18" s="3" t="str">
        <f>IF(Data!$D$29="","",IF(AND($C18="",$D18="",$E18="",$G18="",$H18="",$I18=""),"",IF(AND(AE18="Inside",AG18="Yes",AI18&gt;0),"Yes - "&amp;ROUND(AI18,2)&amp;" ft","No")))</f>
        <v/>
      </c>
      <c r="AK18" s="3" t="str">
        <f ca="1">IF(0-Data!$O$47/2&gt;W18,"Behind",IF(Data!$O$47/2+4000&lt;W18,"Beyond","Inside"))</f>
        <v>Beyond</v>
      </c>
      <c r="AL18" s="3" t="e">
        <f t="shared" ca="1" si="47"/>
        <v>#VALUE!</v>
      </c>
      <c r="AM18" s="20" t="e">
        <f t="shared" ca="1" si="48"/>
        <v>#VALUE!</v>
      </c>
      <c r="AN18" s="20" t="e">
        <f t="shared" ca="1" si="49"/>
        <v>#VALUE!</v>
      </c>
      <c r="AO18" s="3" t="str">
        <f>IF(Data!$D$29="","",IF(AND($C18="",$D18="",$E18="",$G18="",$H18="",$I18=""),"",IF(AND(AK18="Inside",AL18="Yes",AN18&gt;0),"Yes - "&amp;ROUND(AN18,2)&amp;" ft","No")))</f>
        <v/>
      </c>
      <c r="AP18" s="72" t="str">
        <f t="shared" si="50"/>
        <v/>
      </c>
      <c r="AQ18" s="72" t="str">
        <f t="shared" si="51"/>
        <v/>
      </c>
      <c r="AR18" s="72" t="str">
        <f ca="1">IF(Data!$O$47/2+4000&lt;AP18,"Beyond",IF(Data!$O$47/2&gt;AP18,"Behind","Inside"))</f>
        <v>Beyond</v>
      </c>
      <c r="AS18" s="72" t="e">
        <f ca="1">IF((TAN(Data!$AA$5*PI()/180)*AP18)+(Data!$O$47/2)&lt;Data!$O$47/2,Data!$O$47/2,IF((TAN(Data!$AA$5*PI()/180)*AP18)+(Data!$O$47/2)&gt;250,250,(TAN(Data!$AA$5*PI()/180)*AP18)+(Data!$O$47/2)))</f>
        <v>#VALUE!</v>
      </c>
      <c r="AT18" s="72" t="str">
        <f t="shared" ca="1" si="52"/>
        <v>No</v>
      </c>
      <c r="AU18" s="72" t="e">
        <f ca="1">IF(((AP18-(Data!$O$47/2))/8)&gt;0,((AP18-(Data!$O$47/2))/8),0)</f>
        <v>#VALUE!</v>
      </c>
      <c r="AV18" s="72" t="e">
        <f t="shared" ca="1" si="53"/>
        <v>#VALUE!</v>
      </c>
      <c r="AW18" s="72" t="str">
        <f>IF(Data!$D$30="","",IF(AND($C18="",$D18="",$E18="",$G18="",$H18="",$I18=""),"",IF(AND(AR18="Inside",AT18="Yes",AV18&gt;0),"Yes - "&amp;ROUND(AV18,2)&amp;" ft","No")))</f>
        <v/>
      </c>
      <c r="AX18" s="72" t="str">
        <f ca="1">IF(Data!$O$47/2+2000&lt;AP18,"Beyond",IF(Data!$O$47/2&gt;AP18,"Behind","Inside"))</f>
        <v>Beyond</v>
      </c>
      <c r="AY18" s="72" t="e">
        <f ca="1">(TAN(Data!$AA$12*PI()/180)*AP18)+(Data!$O$47/2)</f>
        <v>#VALUE!</v>
      </c>
      <c r="AZ18" s="72" t="e">
        <f t="shared" ca="1" si="54"/>
        <v>#VALUE!</v>
      </c>
      <c r="BA18" s="72" t="e">
        <f t="shared" ca="1" si="55"/>
        <v>#VALUE!</v>
      </c>
      <c r="BB18" s="72" t="e">
        <f t="shared" ca="1" si="56"/>
        <v>#VALUE!</v>
      </c>
      <c r="BC18" s="72" t="str">
        <f>IF(Data!$D$30="","",IF(AND($C18="",$D18="",$E18="",$G18="",$H18="",$I18=""),"",IF(AND(AX18="Inside",AZ18="Yes",BB18&gt;0),"Yes - "&amp;ROUND(BB18,2)&amp;" ft","No")))</f>
        <v/>
      </c>
      <c r="BD18" s="72" t="str">
        <f ca="1">IF(0-Data!$O$47/2&gt;AP18,"Behind",IF(Data!$O$47/2+4000&lt;AP18,"Beyond","Inside"))</f>
        <v>Beyond</v>
      </c>
      <c r="BE18" s="72" t="e">
        <f t="shared" ca="1" si="57"/>
        <v>#VALUE!</v>
      </c>
      <c r="BF18" s="72" t="e">
        <f t="shared" ca="1" si="58"/>
        <v>#VALUE!</v>
      </c>
      <c r="BG18" s="72" t="e">
        <f t="shared" ca="1" si="59"/>
        <v>#VALUE!</v>
      </c>
      <c r="BH18" s="72" t="str">
        <f>IF(Data!$D$30="","",IF(AND($C18="",$D18="",$E18="",$G18="",$H18="",$I18=""),"",IF(AND(BD18="Inside",BE18="Yes",BG18&gt;0),"Yes - "&amp;ROUND(BG18,2)&amp;" ft","No")))</f>
        <v/>
      </c>
      <c r="BI18" s="3" t="str">
        <f t="shared" si="60"/>
        <v/>
      </c>
      <c r="BJ18" s="3" t="str">
        <f t="shared" si="61"/>
        <v/>
      </c>
      <c r="BK18" s="3" t="str">
        <f ca="1">IF(Data!$O$47/2+4000&lt;BI18,"Beyond",IF(Data!$O$47/2&gt;BI18,"Behind","Inside"))</f>
        <v>Beyond</v>
      </c>
      <c r="BL18" s="20" t="e">
        <f ca="1">IF((TAN(Data!$AA$5*PI()/180)*BI18)+(Data!$O$47/2)&lt;Data!$O$47/2,Data!$O$47/2,IF((TAN(Data!$AA$5*PI()/180)*BI18)+(Data!$O$47/2)&gt;250,250,(TAN(Data!$AA$5*PI()/180)*BI18)+(Data!$O$47/2)))</f>
        <v>#VALUE!</v>
      </c>
      <c r="BM18" s="3" t="str">
        <f t="shared" ca="1" si="62"/>
        <v>No</v>
      </c>
      <c r="BN18" s="20" t="e">
        <f ca="1">IF(((BI18-(Data!$O$47/2))/8)&gt;0,((BI18-(Data!$O$47/2))/8),0)</f>
        <v>#VALUE!</v>
      </c>
      <c r="BO18" s="20" t="e">
        <f t="shared" ca="1" si="63"/>
        <v>#VALUE!</v>
      </c>
      <c r="BP18" s="3" t="str">
        <f>IF(Data!$D$31="","",IF(AND($C18="",$D18="",$E18="",$G18="",$H18="",$I18=""),"",IF(AND(BK18="Inside",BM18="Yes",BO18&gt;0),"Yes - "&amp;ROUND(BO18,2)&amp;" ft","No")))</f>
        <v/>
      </c>
      <c r="BQ18" s="3" t="str">
        <f ca="1">IF(Data!$O$47/2+2000&lt;BI18,"Beyond",IF(Data!$O$47/2&gt;BI18,"Behind","Inside"))</f>
        <v>Beyond</v>
      </c>
      <c r="BR18" s="20" t="e">
        <f ca="1">(TAN(Data!$AA$12*PI()/180)*BI18)+(Data!$O$47/2)</f>
        <v>#VALUE!</v>
      </c>
      <c r="BS18" s="3" t="e">
        <f t="shared" ca="1" si="64"/>
        <v>#VALUE!</v>
      </c>
      <c r="BT18" s="20" t="e">
        <f t="shared" ca="1" si="65"/>
        <v>#VALUE!</v>
      </c>
      <c r="BU18" s="20" t="e">
        <f t="shared" ca="1" si="66"/>
        <v>#VALUE!</v>
      </c>
      <c r="BV18" s="3" t="str">
        <f>IF(Data!$D$31="","",IF(AND($C18="",$D18="",$E18="",$G18="",$H18="",$I18=""),"",IF(AND(BQ18="Inside",BS18="Yes",BU18&gt;0),"Yes - "&amp;ROUND(BU18,2)&amp;" ft","No")))</f>
        <v/>
      </c>
      <c r="BW18" s="3" t="str">
        <f ca="1">IF(0-Data!$O$47/2&gt;BI18,"Behind",IF(Data!$O$47/2+4000&lt;BI18,"Beyond","Inside"))</f>
        <v>Beyond</v>
      </c>
      <c r="BX18" s="3" t="e">
        <f t="shared" ca="1" si="67"/>
        <v>#VALUE!</v>
      </c>
      <c r="BY18" s="20" t="e">
        <f t="shared" ca="1" si="68"/>
        <v>#VALUE!</v>
      </c>
      <c r="BZ18" s="20" t="e">
        <f t="shared" ca="1" si="69"/>
        <v>#VALUE!</v>
      </c>
      <c r="CA18" s="3" t="str">
        <f>IF(Data!$D$31="","",IF(AND($C18="",$D18="",$E18="",$G18="",$H18="",$I18=""),"",IF(AND(BW18="Inside",BX18="Yes",BZ18&gt;0),"Yes - "&amp;ROUND(BZ18,2)&amp;" ft","No")))</f>
        <v/>
      </c>
      <c r="CB18" s="9"/>
      <c r="CC18" t="str">
        <f t="shared" si="70"/>
        <v>No</v>
      </c>
      <c r="CD18" s="62" t="s">
        <v>524</v>
      </c>
      <c r="CE18" s="63">
        <f t="shared" si="7"/>
        <v>0</v>
      </c>
      <c r="CF18" s="63">
        <f t="shared" si="5"/>
        <v>260330.3</v>
      </c>
      <c r="CG18" s="63">
        <f t="shared" si="6"/>
        <v>800803.59</v>
      </c>
      <c r="CH18" s="63">
        <f t="shared" si="24"/>
        <v>354</v>
      </c>
      <c r="CI18" s="63">
        <f t="shared" si="9"/>
        <v>0</v>
      </c>
      <c r="CJ18" s="63">
        <f t="shared" si="10"/>
        <v>0.45480516874807703</v>
      </c>
      <c r="CK18" s="63">
        <f t="shared" si="11"/>
        <v>1.39860791215351</v>
      </c>
      <c r="CL18" s="63">
        <f t="shared" si="25"/>
        <v>354</v>
      </c>
      <c r="CM18" s="63">
        <f t="shared" si="26"/>
        <v>6.1784655520599303</v>
      </c>
      <c r="CN18" s="63">
        <f t="shared" si="12"/>
        <v>0</v>
      </c>
      <c r="CO18" s="63">
        <f t="shared" si="13"/>
        <v>1.00543891812539</v>
      </c>
      <c r="CP18" s="63">
        <f t="shared" si="14"/>
        <v>0</v>
      </c>
      <c r="CQ18" s="63">
        <f t="shared" si="15"/>
        <v>0.45480516874807703</v>
      </c>
      <c r="CR18" s="63">
        <f t="shared" si="16"/>
        <v>0</v>
      </c>
      <c r="CS18" s="63">
        <f t="shared" si="17"/>
        <v>0.45480516874807703</v>
      </c>
      <c r="CT18" s="63">
        <f t="shared" si="18"/>
        <v>1.39860791215351</v>
      </c>
      <c r="CU18" s="63">
        <f t="shared" si="19"/>
        <v>9.3200582056497208</v>
      </c>
      <c r="CV18" s="63">
        <f t="shared" si="20"/>
        <v>26.058416670000021</v>
      </c>
      <c r="CW18" s="63">
        <f t="shared" si="21"/>
        <v>80.134330559999924</v>
      </c>
      <c r="CX18" s="63">
        <f t="shared" si="22"/>
        <v>260330.30001199999</v>
      </c>
      <c r="CY18" s="63">
        <f t="shared" si="23"/>
        <v>800803.59001599997</v>
      </c>
    </row>
    <row r="19" spans="1:103" x14ac:dyDescent="0.25">
      <c r="A19" s="67">
        <v>9</v>
      </c>
      <c r="B19" s="84"/>
      <c r="C19" s="84"/>
      <c r="D19" s="84"/>
      <c r="E19" s="84"/>
      <c r="F19" s="109" t="str">
        <f t="shared" si="27"/>
        <v/>
      </c>
      <c r="G19" s="81"/>
      <c r="H19" s="81"/>
      <c r="I19" s="85"/>
      <c r="J19" s="77" t="str">
        <f t="shared" si="28"/>
        <v/>
      </c>
      <c r="K19" s="77" t="str">
        <f t="shared" si="29"/>
        <v/>
      </c>
      <c r="L19" s="77" t="str">
        <f t="shared" si="30"/>
        <v/>
      </c>
      <c r="M19" s="79" t="str">
        <f t="shared" si="31"/>
        <v/>
      </c>
      <c r="N19" s="79" t="str">
        <f t="shared" si="32"/>
        <v/>
      </c>
      <c r="O19" s="79" t="str">
        <f t="shared" si="33"/>
        <v/>
      </c>
      <c r="P19" s="77" t="str">
        <f t="shared" si="34"/>
        <v/>
      </c>
      <c r="Q19" s="77" t="str">
        <f t="shared" si="35"/>
        <v/>
      </c>
      <c r="R19" s="77" t="str">
        <f t="shared" si="36"/>
        <v/>
      </c>
      <c r="S19" s="8"/>
      <c r="T19" s="74">
        <f t="shared" si="37"/>
        <v>-80.134330559999924</v>
      </c>
      <c r="U19" s="66">
        <f t="shared" si="38"/>
        <v>26.058416670000021</v>
      </c>
      <c r="V19" s="66">
        <f t="shared" si="39"/>
        <v>1.524</v>
      </c>
      <c r="W19" s="3" t="str">
        <f t="shared" si="40"/>
        <v/>
      </c>
      <c r="X19" s="3" t="str">
        <f t="shared" si="41"/>
        <v/>
      </c>
      <c r="Y19" s="3" t="str">
        <f ca="1">IF(Data!$O$47/2+4000&lt;W19,"Beyond",IF(Data!$O$47/2&gt;W19,"Behind","Inside"))</f>
        <v>Beyond</v>
      </c>
      <c r="Z19" s="20" t="e">
        <f ca="1">IF((TAN(Data!$AA$5*PI()/180)*W19)+(Data!$O$47/2)&lt;Data!$O$47/2,Data!$O$47/2,IF((TAN(Data!$AA$5*PI()/180)*W19)+(Data!$O$47/2)&gt;250,250,(TAN(Data!$AA$5*PI()/180)*W19)+(Data!$O$47/2)))</f>
        <v>#VALUE!</v>
      </c>
      <c r="AA19" s="3" t="str">
        <f t="shared" ca="1" si="42"/>
        <v>No</v>
      </c>
      <c r="AB19" s="20" t="e">
        <f ca="1">IF(((W19-(Data!$O$47/2))/8)&gt;0,((W19-(Data!$O$47/2))/8),0)</f>
        <v>#VALUE!</v>
      </c>
      <c r="AC19" s="20" t="e">
        <f t="shared" ca="1" si="43"/>
        <v>#VALUE!</v>
      </c>
      <c r="AD19" s="3" t="str">
        <f>IF(Data!$D$29="","",IF(AND($C19="",$D19="",$E19="",$G19="",$H19="",$I19=""),"",IF(AND(Y19="Inside",AA19="Yes",AC19&gt;0),"Yes - "&amp;ROUND(AC19,2)&amp;" ft","No")))</f>
        <v/>
      </c>
      <c r="AE19" s="3" t="str">
        <f ca="1">IF(Data!$O$47/2+2000&lt;W19,"Beyond",IF(Data!$O$47/2&gt;W19,"Behind","Inside"))</f>
        <v>Beyond</v>
      </c>
      <c r="AF19" s="20" t="e">
        <f ca="1">(TAN(Data!$AA$12*PI()/180)*W19)+(Data!$O$47/2)</f>
        <v>#VALUE!</v>
      </c>
      <c r="AG19" s="3" t="e">
        <f t="shared" ca="1" si="44"/>
        <v>#VALUE!</v>
      </c>
      <c r="AH19" s="20" t="e">
        <f t="shared" ca="1" si="45"/>
        <v>#VALUE!</v>
      </c>
      <c r="AI19" s="20" t="e">
        <f t="shared" ca="1" si="46"/>
        <v>#VALUE!</v>
      </c>
      <c r="AJ19" s="3" t="str">
        <f>IF(Data!$D$29="","",IF(AND($C19="",$D19="",$E19="",$G19="",$H19="",$I19=""),"",IF(AND(AE19="Inside",AG19="Yes",AI19&gt;0),"Yes - "&amp;ROUND(AI19,2)&amp;" ft","No")))</f>
        <v/>
      </c>
      <c r="AK19" s="3" t="str">
        <f ca="1">IF(0-Data!$O$47/2&gt;W19,"Behind",IF(Data!$O$47/2+4000&lt;W19,"Beyond","Inside"))</f>
        <v>Beyond</v>
      </c>
      <c r="AL19" s="3" t="e">
        <f t="shared" ca="1" si="47"/>
        <v>#VALUE!</v>
      </c>
      <c r="AM19" s="20" t="e">
        <f t="shared" ca="1" si="48"/>
        <v>#VALUE!</v>
      </c>
      <c r="AN19" s="20" t="e">
        <f t="shared" ca="1" si="49"/>
        <v>#VALUE!</v>
      </c>
      <c r="AO19" s="3" t="str">
        <f>IF(Data!$D$29="","",IF(AND($C19="",$D19="",$E19="",$G19="",$H19="",$I19=""),"",IF(AND(AK19="Inside",AL19="Yes",AN19&gt;0),"Yes - "&amp;ROUND(AN19,2)&amp;" ft","No")))</f>
        <v/>
      </c>
      <c r="AP19" s="72" t="str">
        <f t="shared" si="50"/>
        <v/>
      </c>
      <c r="AQ19" s="72" t="str">
        <f t="shared" si="51"/>
        <v/>
      </c>
      <c r="AR19" s="72" t="str">
        <f ca="1">IF(Data!$O$47/2+4000&lt;AP19,"Beyond",IF(Data!$O$47/2&gt;AP19,"Behind","Inside"))</f>
        <v>Beyond</v>
      </c>
      <c r="AS19" s="72" t="e">
        <f ca="1">IF((TAN(Data!$AA$5*PI()/180)*AP19)+(Data!$O$47/2)&lt;Data!$O$47/2,Data!$O$47/2,IF((TAN(Data!$AA$5*PI()/180)*AP19)+(Data!$O$47/2)&gt;250,250,(TAN(Data!$AA$5*PI()/180)*AP19)+(Data!$O$47/2)))</f>
        <v>#VALUE!</v>
      </c>
      <c r="AT19" s="72" t="str">
        <f t="shared" ca="1" si="52"/>
        <v>No</v>
      </c>
      <c r="AU19" s="72" t="e">
        <f ca="1">IF(((AP19-(Data!$O$47/2))/8)&gt;0,((AP19-(Data!$O$47/2))/8),0)</f>
        <v>#VALUE!</v>
      </c>
      <c r="AV19" s="72" t="e">
        <f t="shared" ca="1" si="53"/>
        <v>#VALUE!</v>
      </c>
      <c r="AW19" s="72" t="str">
        <f>IF(Data!$D$30="","",IF(AND($C19="",$D19="",$E19="",$G19="",$H19="",$I19=""),"",IF(AND(AR19="Inside",AT19="Yes",AV19&gt;0),"Yes - "&amp;ROUND(AV19,2)&amp;" ft","No")))</f>
        <v/>
      </c>
      <c r="AX19" s="72" t="str">
        <f ca="1">IF(Data!$O$47/2+2000&lt;AP19,"Beyond",IF(Data!$O$47/2&gt;AP19,"Behind","Inside"))</f>
        <v>Beyond</v>
      </c>
      <c r="AY19" s="72" t="e">
        <f ca="1">(TAN(Data!$AA$12*PI()/180)*AP19)+(Data!$O$47/2)</f>
        <v>#VALUE!</v>
      </c>
      <c r="AZ19" s="72" t="e">
        <f t="shared" ca="1" si="54"/>
        <v>#VALUE!</v>
      </c>
      <c r="BA19" s="72" t="e">
        <f t="shared" ca="1" si="55"/>
        <v>#VALUE!</v>
      </c>
      <c r="BB19" s="72" t="e">
        <f t="shared" ca="1" si="56"/>
        <v>#VALUE!</v>
      </c>
      <c r="BC19" s="72" t="str">
        <f>IF(Data!$D$30="","",IF(AND($C19="",$D19="",$E19="",$G19="",$H19="",$I19=""),"",IF(AND(AX19="Inside",AZ19="Yes",BB19&gt;0),"Yes - "&amp;ROUND(BB19,2)&amp;" ft","No")))</f>
        <v/>
      </c>
      <c r="BD19" s="72" t="str">
        <f ca="1">IF(0-Data!$O$47/2&gt;AP19,"Behind",IF(Data!$O$47/2+4000&lt;AP19,"Beyond","Inside"))</f>
        <v>Beyond</v>
      </c>
      <c r="BE19" s="72" t="e">
        <f t="shared" ca="1" si="57"/>
        <v>#VALUE!</v>
      </c>
      <c r="BF19" s="72" t="e">
        <f t="shared" ca="1" si="58"/>
        <v>#VALUE!</v>
      </c>
      <c r="BG19" s="72" t="e">
        <f t="shared" ca="1" si="59"/>
        <v>#VALUE!</v>
      </c>
      <c r="BH19" s="72" t="str">
        <f>IF(Data!$D$30="","",IF(AND($C19="",$D19="",$E19="",$G19="",$H19="",$I19=""),"",IF(AND(BD19="Inside",BE19="Yes",BG19&gt;0),"Yes - "&amp;ROUND(BG19,2)&amp;" ft","No")))</f>
        <v/>
      </c>
      <c r="BI19" s="3" t="str">
        <f t="shared" si="60"/>
        <v/>
      </c>
      <c r="BJ19" s="3" t="str">
        <f t="shared" si="61"/>
        <v/>
      </c>
      <c r="BK19" s="3" t="str">
        <f ca="1">IF(Data!$O$47/2+4000&lt;BI19,"Beyond",IF(Data!$O$47/2&gt;BI19,"Behind","Inside"))</f>
        <v>Beyond</v>
      </c>
      <c r="BL19" s="20" t="e">
        <f ca="1">IF((TAN(Data!$AA$5*PI()/180)*BI19)+(Data!$O$47/2)&lt;Data!$O$47/2,Data!$O$47/2,IF((TAN(Data!$AA$5*PI()/180)*BI19)+(Data!$O$47/2)&gt;250,250,(TAN(Data!$AA$5*PI()/180)*BI19)+(Data!$O$47/2)))</f>
        <v>#VALUE!</v>
      </c>
      <c r="BM19" s="3" t="str">
        <f t="shared" ca="1" si="62"/>
        <v>No</v>
      </c>
      <c r="BN19" s="20" t="e">
        <f ca="1">IF(((BI19-(Data!$O$47/2))/8)&gt;0,((BI19-(Data!$O$47/2))/8),0)</f>
        <v>#VALUE!</v>
      </c>
      <c r="BO19" s="20" t="e">
        <f t="shared" ca="1" si="63"/>
        <v>#VALUE!</v>
      </c>
      <c r="BP19" s="3" t="str">
        <f>IF(Data!$D$31="","",IF(AND($C19="",$D19="",$E19="",$G19="",$H19="",$I19=""),"",IF(AND(BK19="Inside",BM19="Yes",BO19&gt;0),"Yes - "&amp;ROUND(BO19,2)&amp;" ft","No")))</f>
        <v/>
      </c>
      <c r="BQ19" s="3" t="str">
        <f ca="1">IF(Data!$O$47/2+2000&lt;BI19,"Beyond",IF(Data!$O$47/2&gt;BI19,"Behind","Inside"))</f>
        <v>Beyond</v>
      </c>
      <c r="BR19" s="20" t="e">
        <f ca="1">(TAN(Data!$AA$12*PI()/180)*BI19)+(Data!$O$47/2)</f>
        <v>#VALUE!</v>
      </c>
      <c r="BS19" s="3" t="e">
        <f t="shared" ca="1" si="64"/>
        <v>#VALUE!</v>
      </c>
      <c r="BT19" s="20" t="e">
        <f t="shared" ca="1" si="65"/>
        <v>#VALUE!</v>
      </c>
      <c r="BU19" s="20" t="e">
        <f t="shared" ca="1" si="66"/>
        <v>#VALUE!</v>
      </c>
      <c r="BV19" s="3" t="str">
        <f>IF(Data!$D$31="","",IF(AND($C19="",$D19="",$E19="",$G19="",$H19="",$I19=""),"",IF(AND(BQ19="Inside",BS19="Yes",BU19&gt;0),"Yes - "&amp;ROUND(BU19,2)&amp;" ft","No")))</f>
        <v/>
      </c>
      <c r="BW19" s="3" t="str">
        <f ca="1">IF(0-Data!$O$47/2&gt;BI19,"Behind",IF(Data!$O$47/2+4000&lt;BI19,"Beyond","Inside"))</f>
        <v>Beyond</v>
      </c>
      <c r="BX19" s="3" t="e">
        <f t="shared" ca="1" si="67"/>
        <v>#VALUE!</v>
      </c>
      <c r="BY19" s="20" t="e">
        <f t="shared" ca="1" si="68"/>
        <v>#VALUE!</v>
      </c>
      <c r="BZ19" s="20" t="e">
        <f t="shared" ca="1" si="69"/>
        <v>#VALUE!</v>
      </c>
      <c r="CA19" s="3" t="str">
        <f>IF(Data!$D$31="","",IF(AND($C19="",$D19="",$E19="",$G19="",$H19="",$I19=""),"",IF(AND(BW19="Inside",BX19="Yes",BZ19&gt;0),"Yes - "&amp;ROUND(BZ19,2)&amp;" ft","No")))</f>
        <v/>
      </c>
      <c r="CB19" s="9"/>
      <c r="CC19" t="str">
        <f t="shared" si="70"/>
        <v>No</v>
      </c>
      <c r="CD19" s="62" t="s">
        <v>525</v>
      </c>
      <c r="CE19" s="63">
        <f t="shared" si="7"/>
        <v>0</v>
      </c>
      <c r="CF19" s="63">
        <f t="shared" si="5"/>
        <v>260330.3</v>
      </c>
      <c r="CG19" s="63">
        <f t="shared" si="6"/>
        <v>800803.59</v>
      </c>
      <c r="CH19" s="63">
        <f t="shared" si="24"/>
        <v>354</v>
      </c>
      <c r="CI19" s="63">
        <f t="shared" si="9"/>
        <v>0</v>
      </c>
      <c r="CJ19" s="63">
        <f t="shared" si="10"/>
        <v>0.45480516874807703</v>
      </c>
      <c r="CK19" s="63">
        <f t="shared" si="11"/>
        <v>1.39860791215351</v>
      </c>
      <c r="CL19" s="63">
        <f t="shared" si="25"/>
        <v>354</v>
      </c>
      <c r="CM19" s="63">
        <f t="shared" si="26"/>
        <v>6.1784655520599303</v>
      </c>
      <c r="CN19" s="63">
        <f t="shared" si="12"/>
        <v>0</v>
      </c>
      <c r="CO19" s="63">
        <f t="shared" si="13"/>
        <v>1.00543891812539</v>
      </c>
      <c r="CP19" s="63">
        <f t="shared" si="14"/>
        <v>0</v>
      </c>
      <c r="CQ19" s="63">
        <f t="shared" si="15"/>
        <v>0.45480516874807703</v>
      </c>
      <c r="CR19" s="63">
        <f t="shared" si="16"/>
        <v>0</v>
      </c>
      <c r="CS19" s="63">
        <f t="shared" si="17"/>
        <v>0.45480516874807703</v>
      </c>
      <c r="CT19" s="63">
        <f t="shared" si="18"/>
        <v>1.39860791215351</v>
      </c>
      <c r="CU19" s="63">
        <f t="shared" si="19"/>
        <v>9.3200582056497208</v>
      </c>
      <c r="CV19" s="63">
        <f t="shared" si="20"/>
        <v>26.058416670000021</v>
      </c>
      <c r="CW19" s="63">
        <f t="shared" si="21"/>
        <v>80.134330559999924</v>
      </c>
      <c r="CX19" s="63">
        <f t="shared" si="22"/>
        <v>260330.30001199999</v>
      </c>
      <c r="CY19" s="63">
        <f t="shared" si="23"/>
        <v>800803.59001599997</v>
      </c>
    </row>
    <row r="20" spans="1:103" x14ac:dyDescent="0.25">
      <c r="A20" s="67">
        <v>10</v>
      </c>
      <c r="B20" s="84"/>
      <c r="C20" s="84"/>
      <c r="D20" s="84"/>
      <c r="E20" s="84"/>
      <c r="F20" s="109" t="str">
        <f t="shared" si="27"/>
        <v/>
      </c>
      <c r="G20" s="81"/>
      <c r="H20" s="81"/>
      <c r="I20" s="85"/>
      <c r="J20" s="77" t="str">
        <f t="shared" si="28"/>
        <v/>
      </c>
      <c r="K20" s="77" t="str">
        <f t="shared" si="29"/>
        <v/>
      </c>
      <c r="L20" s="77" t="str">
        <f t="shared" si="30"/>
        <v/>
      </c>
      <c r="M20" s="79" t="str">
        <f t="shared" si="31"/>
        <v/>
      </c>
      <c r="N20" s="79" t="str">
        <f t="shared" si="32"/>
        <v/>
      </c>
      <c r="O20" s="79" t="str">
        <f t="shared" si="33"/>
        <v/>
      </c>
      <c r="P20" s="77" t="str">
        <f t="shared" si="34"/>
        <v/>
      </c>
      <c r="Q20" s="77" t="str">
        <f t="shared" si="35"/>
        <v/>
      </c>
      <c r="R20" s="77" t="str">
        <f t="shared" si="36"/>
        <v/>
      </c>
      <c r="S20" s="8"/>
      <c r="T20" s="74">
        <f t="shared" si="37"/>
        <v>-80.134330559999924</v>
      </c>
      <c r="U20" s="66">
        <f t="shared" si="38"/>
        <v>26.058416670000021</v>
      </c>
      <c r="V20" s="66">
        <f t="shared" si="39"/>
        <v>1.524</v>
      </c>
      <c r="W20" s="3" t="str">
        <f t="shared" si="40"/>
        <v/>
      </c>
      <c r="X20" s="3" t="str">
        <f t="shared" si="41"/>
        <v/>
      </c>
      <c r="Y20" s="3" t="str">
        <f ca="1">IF(Data!$O$47/2+4000&lt;W20,"Beyond",IF(Data!$O$47/2&gt;W20,"Behind","Inside"))</f>
        <v>Beyond</v>
      </c>
      <c r="Z20" s="20" t="e">
        <f ca="1">IF((TAN(Data!$AA$5*PI()/180)*W20)+(Data!$O$47/2)&lt;Data!$O$47/2,Data!$O$47/2,IF((TAN(Data!$AA$5*PI()/180)*W20)+(Data!$O$47/2)&gt;250,250,(TAN(Data!$AA$5*PI()/180)*W20)+(Data!$O$47/2)))</f>
        <v>#VALUE!</v>
      </c>
      <c r="AA20" s="3" t="str">
        <f t="shared" ca="1" si="42"/>
        <v>No</v>
      </c>
      <c r="AB20" s="20" t="e">
        <f ca="1">IF(((W20-(Data!$O$47/2))/8)&gt;0,((W20-(Data!$O$47/2))/8),0)</f>
        <v>#VALUE!</v>
      </c>
      <c r="AC20" s="20" t="e">
        <f t="shared" ca="1" si="43"/>
        <v>#VALUE!</v>
      </c>
      <c r="AD20" s="3" t="str">
        <f>IF(Data!$D$29="","",IF(AND($C20="",$D20="",$E20="",$G20="",$H20="",$I20=""),"",IF(AND(Y20="Inside",AA20="Yes",AC20&gt;0),"Yes - "&amp;ROUND(AC20,2)&amp;" ft","No")))</f>
        <v/>
      </c>
      <c r="AE20" s="3" t="str">
        <f ca="1">IF(Data!$O$47/2+2000&lt;W20,"Beyond",IF(Data!$O$47/2&gt;W20,"Behind","Inside"))</f>
        <v>Beyond</v>
      </c>
      <c r="AF20" s="20" t="e">
        <f ca="1">(TAN(Data!$AA$12*PI()/180)*W20)+(Data!$O$47/2)</f>
        <v>#VALUE!</v>
      </c>
      <c r="AG20" s="3" t="e">
        <f t="shared" ca="1" si="44"/>
        <v>#VALUE!</v>
      </c>
      <c r="AH20" s="20" t="e">
        <f t="shared" ca="1" si="45"/>
        <v>#VALUE!</v>
      </c>
      <c r="AI20" s="20" t="e">
        <f t="shared" ca="1" si="46"/>
        <v>#VALUE!</v>
      </c>
      <c r="AJ20" s="3" t="str">
        <f>IF(Data!$D$29="","",IF(AND($C20="",$D20="",$E20="",$G20="",$H20="",$I20=""),"",IF(AND(AE20="Inside",AG20="Yes",AI20&gt;0),"Yes - "&amp;ROUND(AI20,2)&amp;" ft","No")))</f>
        <v/>
      </c>
      <c r="AK20" s="3" t="str">
        <f ca="1">IF(0-Data!$O$47/2&gt;W20,"Behind",IF(Data!$O$47/2+4000&lt;W20,"Beyond","Inside"))</f>
        <v>Beyond</v>
      </c>
      <c r="AL20" s="3" t="e">
        <f t="shared" ca="1" si="47"/>
        <v>#VALUE!</v>
      </c>
      <c r="AM20" s="20" t="e">
        <f t="shared" ca="1" si="48"/>
        <v>#VALUE!</v>
      </c>
      <c r="AN20" s="20" t="e">
        <f t="shared" ca="1" si="49"/>
        <v>#VALUE!</v>
      </c>
      <c r="AO20" s="3" t="str">
        <f>IF(Data!$D$29="","",IF(AND($C20="",$D20="",$E20="",$G20="",$H20="",$I20=""),"",IF(AND(AK20="Inside",AL20="Yes",AN20&gt;0),"Yes - "&amp;ROUND(AN20,2)&amp;" ft","No")))</f>
        <v/>
      </c>
      <c r="AP20" s="72" t="str">
        <f t="shared" si="50"/>
        <v/>
      </c>
      <c r="AQ20" s="72" t="str">
        <f t="shared" si="51"/>
        <v/>
      </c>
      <c r="AR20" s="72" t="str">
        <f ca="1">IF(Data!$O$47/2+4000&lt;AP20,"Beyond",IF(Data!$O$47/2&gt;AP20,"Behind","Inside"))</f>
        <v>Beyond</v>
      </c>
      <c r="AS20" s="72" t="e">
        <f ca="1">IF((TAN(Data!$AA$5*PI()/180)*AP20)+(Data!$O$47/2)&lt;Data!$O$47/2,Data!$O$47/2,IF((TAN(Data!$AA$5*PI()/180)*AP20)+(Data!$O$47/2)&gt;250,250,(TAN(Data!$AA$5*PI()/180)*AP20)+(Data!$O$47/2)))</f>
        <v>#VALUE!</v>
      </c>
      <c r="AT20" s="72" t="str">
        <f t="shared" ca="1" si="52"/>
        <v>No</v>
      </c>
      <c r="AU20" s="72" t="e">
        <f ca="1">IF(((AP20-(Data!$O$47/2))/8)&gt;0,((AP20-(Data!$O$47/2))/8),0)</f>
        <v>#VALUE!</v>
      </c>
      <c r="AV20" s="72" t="e">
        <f t="shared" ca="1" si="53"/>
        <v>#VALUE!</v>
      </c>
      <c r="AW20" s="72" t="str">
        <f>IF(Data!$D$30="","",IF(AND($C20="",$D20="",$E20="",$G20="",$H20="",$I20=""),"",IF(AND(AR20="Inside",AT20="Yes",AV20&gt;0),"Yes - "&amp;ROUND(AV20,2)&amp;" ft","No")))</f>
        <v/>
      </c>
      <c r="AX20" s="72" t="str">
        <f ca="1">IF(Data!$O$47/2+2000&lt;AP20,"Beyond",IF(Data!$O$47/2&gt;AP20,"Behind","Inside"))</f>
        <v>Beyond</v>
      </c>
      <c r="AY20" s="72" t="e">
        <f ca="1">(TAN(Data!$AA$12*PI()/180)*AP20)+(Data!$O$47/2)</f>
        <v>#VALUE!</v>
      </c>
      <c r="AZ20" s="72" t="e">
        <f t="shared" ca="1" si="54"/>
        <v>#VALUE!</v>
      </c>
      <c r="BA20" s="72" t="e">
        <f t="shared" ca="1" si="55"/>
        <v>#VALUE!</v>
      </c>
      <c r="BB20" s="72" t="e">
        <f t="shared" ca="1" si="56"/>
        <v>#VALUE!</v>
      </c>
      <c r="BC20" s="72" t="str">
        <f>IF(Data!$D$30="","",IF(AND($C20="",$D20="",$E20="",$G20="",$H20="",$I20=""),"",IF(AND(AX20="Inside",AZ20="Yes",BB20&gt;0),"Yes - "&amp;ROUND(BB20,2)&amp;" ft","No")))</f>
        <v/>
      </c>
      <c r="BD20" s="72" t="str">
        <f ca="1">IF(0-Data!$O$47/2&gt;AP20,"Behind",IF(Data!$O$47/2+4000&lt;AP20,"Beyond","Inside"))</f>
        <v>Beyond</v>
      </c>
      <c r="BE20" s="72" t="e">
        <f t="shared" ca="1" si="57"/>
        <v>#VALUE!</v>
      </c>
      <c r="BF20" s="72" t="e">
        <f t="shared" ca="1" si="58"/>
        <v>#VALUE!</v>
      </c>
      <c r="BG20" s="72" t="e">
        <f t="shared" ca="1" si="59"/>
        <v>#VALUE!</v>
      </c>
      <c r="BH20" s="72" t="str">
        <f>IF(Data!$D$30="","",IF(AND($C20="",$D20="",$E20="",$G20="",$H20="",$I20=""),"",IF(AND(BD20="Inside",BE20="Yes",BG20&gt;0),"Yes - "&amp;ROUND(BG20,2)&amp;" ft","No")))</f>
        <v/>
      </c>
      <c r="BI20" s="3" t="str">
        <f t="shared" si="60"/>
        <v/>
      </c>
      <c r="BJ20" s="3" t="str">
        <f t="shared" si="61"/>
        <v/>
      </c>
      <c r="BK20" s="3" t="str">
        <f ca="1">IF(Data!$O$47/2+4000&lt;BI20,"Beyond",IF(Data!$O$47/2&gt;BI20,"Behind","Inside"))</f>
        <v>Beyond</v>
      </c>
      <c r="BL20" s="20" t="e">
        <f ca="1">IF((TAN(Data!$AA$5*PI()/180)*BI20)+(Data!$O$47/2)&lt;Data!$O$47/2,Data!$O$47/2,IF((TAN(Data!$AA$5*PI()/180)*BI20)+(Data!$O$47/2)&gt;250,250,(TAN(Data!$AA$5*PI()/180)*BI20)+(Data!$O$47/2)))</f>
        <v>#VALUE!</v>
      </c>
      <c r="BM20" s="3" t="str">
        <f t="shared" ca="1" si="62"/>
        <v>No</v>
      </c>
      <c r="BN20" s="20" t="e">
        <f ca="1">IF(((BI20-(Data!$O$47/2))/8)&gt;0,((BI20-(Data!$O$47/2))/8),0)</f>
        <v>#VALUE!</v>
      </c>
      <c r="BO20" s="20" t="e">
        <f t="shared" ca="1" si="63"/>
        <v>#VALUE!</v>
      </c>
      <c r="BP20" s="3" t="str">
        <f>IF(Data!$D$31="","",IF(AND($C20="",$D20="",$E20="",$G20="",$H20="",$I20=""),"",IF(AND(BK20="Inside",BM20="Yes",BO20&gt;0),"Yes - "&amp;ROUND(BO20,2)&amp;" ft","No")))</f>
        <v/>
      </c>
      <c r="BQ20" s="3" t="str">
        <f ca="1">IF(Data!$O$47/2+2000&lt;BI20,"Beyond",IF(Data!$O$47/2&gt;BI20,"Behind","Inside"))</f>
        <v>Beyond</v>
      </c>
      <c r="BR20" s="20" t="e">
        <f ca="1">(TAN(Data!$AA$12*PI()/180)*BI20)+(Data!$O$47/2)</f>
        <v>#VALUE!</v>
      </c>
      <c r="BS20" s="3" t="e">
        <f t="shared" ca="1" si="64"/>
        <v>#VALUE!</v>
      </c>
      <c r="BT20" s="20" t="e">
        <f t="shared" ca="1" si="65"/>
        <v>#VALUE!</v>
      </c>
      <c r="BU20" s="20" t="e">
        <f t="shared" ca="1" si="66"/>
        <v>#VALUE!</v>
      </c>
      <c r="BV20" s="3" t="str">
        <f>IF(Data!$D$31="","",IF(AND($C20="",$D20="",$E20="",$G20="",$H20="",$I20=""),"",IF(AND(BQ20="Inside",BS20="Yes",BU20&gt;0),"Yes - "&amp;ROUND(BU20,2)&amp;" ft","No")))</f>
        <v/>
      </c>
      <c r="BW20" s="3" t="str">
        <f ca="1">IF(0-Data!$O$47/2&gt;BI20,"Behind",IF(Data!$O$47/2+4000&lt;BI20,"Beyond","Inside"))</f>
        <v>Beyond</v>
      </c>
      <c r="BX20" s="3" t="e">
        <f t="shared" ca="1" si="67"/>
        <v>#VALUE!</v>
      </c>
      <c r="BY20" s="20" t="e">
        <f t="shared" ca="1" si="68"/>
        <v>#VALUE!</v>
      </c>
      <c r="BZ20" s="20" t="e">
        <f t="shared" ca="1" si="69"/>
        <v>#VALUE!</v>
      </c>
      <c r="CA20" s="3" t="str">
        <f>IF(Data!$D$31="","",IF(AND($C20="",$D20="",$E20="",$G20="",$H20="",$I20=""),"",IF(AND(BW20="Inside",BX20="Yes",BZ20&gt;0),"Yes - "&amp;ROUND(BZ20,2)&amp;" ft","No")))</f>
        <v/>
      </c>
      <c r="CB20" s="9"/>
      <c r="CC20" t="str">
        <f t="shared" si="70"/>
        <v>No</v>
      </c>
      <c r="CD20" s="62" t="s">
        <v>526</v>
      </c>
      <c r="CE20" s="63">
        <f t="shared" si="7"/>
        <v>0</v>
      </c>
      <c r="CF20" s="63">
        <f t="shared" si="5"/>
        <v>260330.3</v>
      </c>
      <c r="CG20" s="63">
        <f t="shared" si="6"/>
        <v>800803.59</v>
      </c>
      <c r="CH20" s="63">
        <f t="shared" si="24"/>
        <v>354</v>
      </c>
      <c r="CI20" s="63">
        <f t="shared" si="9"/>
        <v>0</v>
      </c>
      <c r="CJ20" s="63">
        <f t="shared" si="10"/>
        <v>0.45480516874807703</v>
      </c>
      <c r="CK20" s="63">
        <f t="shared" si="11"/>
        <v>1.39860791215351</v>
      </c>
      <c r="CL20" s="63">
        <f t="shared" si="25"/>
        <v>354</v>
      </c>
      <c r="CM20" s="63">
        <f t="shared" si="26"/>
        <v>6.1784655520599303</v>
      </c>
      <c r="CN20" s="63">
        <f t="shared" si="12"/>
        <v>0</v>
      </c>
      <c r="CO20" s="63">
        <f t="shared" si="13"/>
        <v>1.00543891812539</v>
      </c>
      <c r="CP20" s="63">
        <f t="shared" si="14"/>
        <v>0</v>
      </c>
      <c r="CQ20" s="63">
        <f t="shared" si="15"/>
        <v>0.45480516874807703</v>
      </c>
      <c r="CR20" s="63">
        <f t="shared" si="16"/>
        <v>0</v>
      </c>
      <c r="CS20" s="63">
        <f t="shared" si="17"/>
        <v>0.45480516874807703</v>
      </c>
      <c r="CT20" s="63">
        <f t="shared" si="18"/>
        <v>1.39860791215351</v>
      </c>
      <c r="CU20" s="63">
        <f t="shared" si="19"/>
        <v>9.3200582056497208</v>
      </c>
      <c r="CV20" s="63">
        <f t="shared" si="20"/>
        <v>26.058416670000021</v>
      </c>
      <c r="CW20" s="63">
        <f t="shared" si="21"/>
        <v>80.134330559999924</v>
      </c>
      <c r="CX20" s="63">
        <f t="shared" si="22"/>
        <v>260330.30001199999</v>
      </c>
      <c r="CY20" s="63">
        <f t="shared" si="23"/>
        <v>800803.59001599997</v>
      </c>
    </row>
    <row r="21" spans="1:103" x14ac:dyDescent="0.25">
      <c r="A21" s="67">
        <v>11</v>
      </c>
      <c r="B21" s="84"/>
      <c r="C21" s="81"/>
      <c r="D21" s="81"/>
      <c r="E21" s="81"/>
      <c r="F21" s="109" t="str">
        <f t="shared" si="27"/>
        <v/>
      </c>
      <c r="G21" s="81"/>
      <c r="H21" s="81"/>
      <c r="I21" s="85"/>
      <c r="J21" s="77" t="str">
        <f t="shared" si="28"/>
        <v/>
      </c>
      <c r="K21" s="77" t="str">
        <f t="shared" si="29"/>
        <v/>
      </c>
      <c r="L21" s="77" t="str">
        <f t="shared" si="30"/>
        <v/>
      </c>
      <c r="M21" s="79" t="str">
        <f t="shared" si="31"/>
        <v/>
      </c>
      <c r="N21" s="79" t="str">
        <f t="shared" si="32"/>
        <v/>
      </c>
      <c r="O21" s="79" t="str">
        <f t="shared" si="33"/>
        <v/>
      </c>
      <c r="P21" s="77" t="str">
        <f t="shared" si="34"/>
        <v/>
      </c>
      <c r="Q21" s="77" t="str">
        <f t="shared" si="35"/>
        <v/>
      </c>
      <c r="R21" s="77" t="str">
        <f t="shared" si="36"/>
        <v/>
      </c>
      <c r="S21" s="8"/>
      <c r="T21" s="74">
        <f t="shared" si="37"/>
        <v>-80.134330559999924</v>
      </c>
      <c r="U21" s="66">
        <f t="shared" si="38"/>
        <v>26.058416670000021</v>
      </c>
      <c r="V21" s="66">
        <f t="shared" si="39"/>
        <v>1.524</v>
      </c>
      <c r="W21" s="3" t="str">
        <f t="shared" si="40"/>
        <v/>
      </c>
      <c r="X21" s="3" t="str">
        <f t="shared" si="41"/>
        <v/>
      </c>
      <c r="Y21" s="3" t="str">
        <f ca="1">IF(Data!$O$47/2+4000&lt;W21,"Beyond",IF(Data!$O$47/2&gt;W21,"Behind","Inside"))</f>
        <v>Beyond</v>
      </c>
      <c r="Z21" s="20" t="e">
        <f ca="1">IF((TAN(Data!$AA$5*PI()/180)*W21)+(Data!$O$47/2)&lt;Data!$O$47/2,Data!$O$47/2,IF((TAN(Data!$AA$5*PI()/180)*W21)+(Data!$O$47/2)&gt;250,250,(TAN(Data!$AA$5*PI()/180)*W21)+(Data!$O$47/2)))</f>
        <v>#VALUE!</v>
      </c>
      <c r="AA21" s="3" t="str">
        <f t="shared" ca="1" si="42"/>
        <v>No</v>
      </c>
      <c r="AB21" s="20" t="e">
        <f ca="1">IF(((W21-(Data!$O$47/2))/8)&gt;0,((W21-(Data!$O$47/2))/8),0)</f>
        <v>#VALUE!</v>
      </c>
      <c r="AC21" s="20" t="e">
        <f t="shared" ca="1" si="43"/>
        <v>#VALUE!</v>
      </c>
      <c r="AD21" s="3" t="str">
        <f>IF(Data!$D$29="","",IF(AND($C21="",$D21="",$E21="",$G21="",$H21="",$I21=""),"",IF(AND(Y21="Inside",AA21="Yes",AC21&gt;0),"Yes - "&amp;ROUND(AC21,2)&amp;" ft","No")))</f>
        <v/>
      </c>
      <c r="AE21" s="3" t="str">
        <f ca="1">IF(Data!$O$47/2+2000&lt;W21,"Beyond",IF(Data!$O$47/2&gt;W21,"Behind","Inside"))</f>
        <v>Beyond</v>
      </c>
      <c r="AF21" s="20" t="e">
        <f ca="1">(TAN(Data!$AA$12*PI()/180)*W21)+(Data!$O$47/2)</f>
        <v>#VALUE!</v>
      </c>
      <c r="AG21" s="3" t="e">
        <f t="shared" ca="1" si="44"/>
        <v>#VALUE!</v>
      </c>
      <c r="AH21" s="20" t="e">
        <f t="shared" ca="1" si="45"/>
        <v>#VALUE!</v>
      </c>
      <c r="AI21" s="20" t="e">
        <f t="shared" ca="1" si="46"/>
        <v>#VALUE!</v>
      </c>
      <c r="AJ21" s="3" t="str">
        <f>IF(Data!$D$29="","",IF(AND($C21="",$D21="",$E21="",$G21="",$H21="",$I21=""),"",IF(AND(AE21="Inside",AG21="Yes",AI21&gt;0),"Yes - "&amp;ROUND(AI21,2)&amp;" ft","No")))</f>
        <v/>
      </c>
      <c r="AK21" s="3" t="str">
        <f ca="1">IF(0-Data!$O$47/2&gt;W21,"Behind",IF(Data!$O$47/2+4000&lt;W21,"Beyond","Inside"))</f>
        <v>Beyond</v>
      </c>
      <c r="AL21" s="3" t="e">
        <f t="shared" ca="1" si="47"/>
        <v>#VALUE!</v>
      </c>
      <c r="AM21" s="20" t="e">
        <f t="shared" ca="1" si="48"/>
        <v>#VALUE!</v>
      </c>
      <c r="AN21" s="20" t="e">
        <f t="shared" ca="1" si="49"/>
        <v>#VALUE!</v>
      </c>
      <c r="AO21" s="3" t="str">
        <f>IF(Data!$D$29="","",IF(AND($C21="",$D21="",$E21="",$G21="",$H21="",$I21=""),"",IF(AND(AK21="Inside",AL21="Yes",AN21&gt;0),"Yes - "&amp;ROUND(AN21,2)&amp;" ft","No")))</f>
        <v/>
      </c>
      <c r="AP21" s="72" t="str">
        <f t="shared" si="50"/>
        <v/>
      </c>
      <c r="AQ21" s="72" t="str">
        <f t="shared" si="51"/>
        <v/>
      </c>
      <c r="AR21" s="72" t="str">
        <f ca="1">IF(Data!$O$47/2+4000&lt;AP21,"Beyond",IF(Data!$O$47/2&gt;AP21,"Behind","Inside"))</f>
        <v>Beyond</v>
      </c>
      <c r="AS21" s="72" t="e">
        <f ca="1">IF((TAN(Data!$AA$5*PI()/180)*AP21)+(Data!$O$47/2)&lt;Data!$O$47/2,Data!$O$47/2,IF((TAN(Data!$AA$5*PI()/180)*AP21)+(Data!$O$47/2)&gt;250,250,(TAN(Data!$AA$5*PI()/180)*AP21)+(Data!$O$47/2)))</f>
        <v>#VALUE!</v>
      </c>
      <c r="AT21" s="72" t="str">
        <f t="shared" ca="1" si="52"/>
        <v>No</v>
      </c>
      <c r="AU21" s="72" t="e">
        <f ca="1">IF(((AP21-(Data!$O$47/2))/8)&gt;0,((AP21-(Data!$O$47/2))/8),0)</f>
        <v>#VALUE!</v>
      </c>
      <c r="AV21" s="72" t="e">
        <f t="shared" ca="1" si="53"/>
        <v>#VALUE!</v>
      </c>
      <c r="AW21" s="72" t="str">
        <f>IF(Data!$D$30="","",IF(AND($C21="",$D21="",$E21="",$G21="",$H21="",$I21=""),"",IF(AND(AR21="Inside",AT21="Yes",AV21&gt;0),"Yes - "&amp;ROUND(AV21,2)&amp;" ft","No")))</f>
        <v/>
      </c>
      <c r="AX21" s="72" t="str">
        <f ca="1">IF(Data!$O$47/2+2000&lt;AP21,"Beyond",IF(Data!$O$47/2&gt;AP21,"Behind","Inside"))</f>
        <v>Beyond</v>
      </c>
      <c r="AY21" s="72" t="e">
        <f ca="1">(TAN(Data!$AA$12*PI()/180)*AP21)+(Data!$O$47/2)</f>
        <v>#VALUE!</v>
      </c>
      <c r="AZ21" s="72" t="e">
        <f t="shared" ca="1" si="54"/>
        <v>#VALUE!</v>
      </c>
      <c r="BA21" s="72" t="e">
        <f t="shared" ca="1" si="55"/>
        <v>#VALUE!</v>
      </c>
      <c r="BB21" s="72" t="e">
        <f t="shared" ca="1" si="56"/>
        <v>#VALUE!</v>
      </c>
      <c r="BC21" s="72" t="str">
        <f>IF(Data!$D$30="","",IF(AND($C21="",$D21="",$E21="",$G21="",$H21="",$I21=""),"",IF(AND(AX21="Inside",AZ21="Yes",BB21&gt;0),"Yes - "&amp;ROUND(BB21,2)&amp;" ft","No")))</f>
        <v/>
      </c>
      <c r="BD21" s="72" t="str">
        <f ca="1">IF(0-Data!$O$47/2&gt;AP21,"Behind",IF(Data!$O$47/2+4000&lt;AP21,"Beyond","Inside"))</f>
        <v>Beyond</v>
      </c>
      <c r="BE21" s="72" t="e">
        <f t="shared" ca="1" si="57"/>
        <v>#VALUE!</v>
      </c>
      <c r="BF21" s="72" t="e">
        <f t="shared" ca="1" si="58"/>
        <v>#VALUE!</v>
      </c>
      <c r="BG21" s="72" t="e">
        <f t="shared" ca="1" si="59"/>
        <v>#VALUE!</v>
      </c>
      <c r="BH21" s="72" t="str">
        <f>IF(Data!$D$30="","",IF(AND($C21="",$D21="",$E21="",$G21="",$H21="",$I21=""),"",IF(AND(BD21="Inside",BE21="Yes",BG21&gt;0),"Yes - "&amp;ROUND(BG21,2)&amp;" ft","No")))</f>
        <v/>
      </c>
      <c r="BI21" s="3" t="str">
        <f t="shared" si="60"/>
        <v/>
      </c>
      <c r="BJ21" s="3" t="str">
        <f t="shared" si="61"/>
        <v/>
      </c>
      <c r="BK21" s="3" t="str">
        <f ca="1">IF(Data!$O$47/2+4000&lt;BI21,"Beyond",IF(Data!$O$47/2&gt;BI21,"Behind","Inside"))</f>
        <v>Beyond</v>
      </c>
      <c r="BL21" s="20" t="e">
        <f ca="1">IF((TAN(Data!$AA$5*PI()/180)*BI21)+(Data!$O$47/2)&lt;Data!$O$47/2,Data!$O$47/2,IF((TAN(Data!$AA$5*PI()/180)*BI21)+(Data!$O$47/2)&gt;250,250,(TAN(Data!$AA$5*PI()/180)*BI21)+(Data!$O$47/2)))</f>
        <v>#VALUE!</v>
      </c>
      <c r="BM21" s="3" t="str">
        <f t="shared" ca="1" si="62"/>
        <v>No</v>
      </c>
      <c r="BN21" s="20" t="e">
        <f ca="1">IF(((BI21-(Data!$O$47/2))/8)&gt;0,((BI21-(Data!$O$47/2))/8),0)</f>
        <v>#VALUE!</v>
      </c>
      <c r="BO21" s="20" t="e">
        <f t="shared" ca="1" si="63"/>
        <v>#VALUE!</v>
      </c>
      <c r="BP21" s="3" t="str">
        <f>IF(Data!$D$31="","",IF(AND($C21="",$D21="",$E21="",$G21="",$H21="",$I21=""),"",IF(AND(BK21="Inside",BM21="Yes",BO21&gt;0),"Yes - "&amp;ROUND(BO21,2)&amp;" ft","No")))</f>
        <v/>
      </c>
      <c r="BQ21" s="3" t="str">
        <f ca="1">IF(Data!$O$47/2+2000&lt;BI21,"Beyond",IF(Data!$O$47/2&gt;BI21,"Behind","Inside"))</f>
        <v>Beyond</v>
      </c>
      <c r="BR21" s="20" t="e">
        <f ca="1">(TAN(Data!$AA$12*PI()/180)*BI21)+(Data!$O$47/2)</f>
        <v>#VALUE!</v>
      </c>
      <c r="BS21" s="3" t="e">
        <f t="shared" ca="1" si="64"/>
        <v>#VALUE!</v>
      </c>
      <c r="BT21" s="20" t="e">
        <f t="shared" ca="1" si="65"/>
        <v>#VALUE!</v>
      </c>
      <c r="BU21" s="20" t="e">
        <f t="shared" ca="1" si="66"/>
        <v>#VALUE!</v>
      </c>
      <c r="BV21" s="3" t="str">
        <f>IF(Data!$D$31="","",IF(AND($C21="",$D21="",$E21="",$G21="",$H21="",$I21=""),"",IF(AND(BQ21="Inside",BS21="Yes",BU21&gt;0),"Yes - "&amp;ROUND(BU21,2)&amp;" ft","No")))</f>
        <v/>
      </c>
      <c r="BW21" s="3" t="str">
        <f ca="1">IF(0-Data!$O$47/2&gt;BI21,"Behind",IF(Data!$O$47/2+4000&lt;BI21,"Beyond","Inside"))</f>
        <v>Beyond</v>
      </c>
      <c r="BX21" s="3" t="e">
        <f t="shared" ca="1" si="67"/>
        <v>#VALUE!</v>
      </c>
      <c r="BY21" s="20" t="e">
        <f t="shared" ca="1" si="68"/>
        <v>#VALUE!</v>
      </c>
      <c r="BZ21" s="20" t="e">
        <f t="shared" ca="1" si="69"/>
        <v>#VALUE!</v>
      </c>
      <c r="CA21" s="3" t="str">
        <f>IF(Data!$D$31="","",IF(AND($C21="",$D21="",$E21="",$G21="",$H21="",$I21=""),"",IF(AND(BW21="Inside",BX21="Yes",BZ21&gt;0),"Yes - "&amp;ROUND(BZ21,2)&amp;" ft","No")))</f>
        <v/>
      </c>
      <c r="CB21" s="9"/>
      <c r="CC21" t="str">
        <f t="shared" si="70"/>
        <v>No</v>
      </c>
      <c r="CD21" s="62" t="s">
        <v>527</v>
      </c>
      <c r="CE21" s="63">
        <f t="shared" si="7"/>
        <v>0</v>
      </c>
      <c r="CF21" s="63">
        <f t="shared" si="5"/>
        <v>260330.3</v>
      </c>
      <c r="CG21" s="63">
        <f t="shared" si="6"/>
        <v>800803.59</v>
      </c>
      <c r="CH21" s="63">
        <f t="shared" si="24"/>
        <v>354</v>
      </c>
      <c r="CI21" s="63">
        <f t="shared" si="9"/>
        <v>0</v>
      </c>
      <c r="CJ21" s="63">
        <f t="shared" si="10"/>
        <v>0.45480516874807703</v>
      </c>
      <c r="CK21" s="63">
        <f t="shared" si="11"/>
        <v>1.39860791215351</v>
      </c>
      <c r="CL21" s="63">
        <f t="shared" si="25"/>
        <v>354</v>
      </c>
      <c r="CM21" s="63">
        <f t="shared" si="26"/>
        <v>6.1784655520599303</v>
      </c>
      <c r="CN21" s="63">
        <f t="shared" si="12"/>
        <v>0</v>
      </c>
      <c r="CO21" s="63">
        <f t="shared" si="13"/>
        <v>1.00543891812539</v>
      </c>
      <c r="CP21" s="63">
        <f t="shared" si="14"/>
        <v>0</v>
      </c>
      <c r="CQ21" s="63">
        <f t="shared" si="15"/>
        <v>0.45480516874807703</v>
      </c>
      <c r="CR21" s="63">
        <f t="shared" si="16"/>
        <v>0</v>
      </c>
      <c r="CS21" s="63">
        <f t="shared" si="17"/>
        <v>0.45480516874807703</v>
      </c>
      <c r="CT21" s="63">
        <f t="shared" si="18"/>
        <v>1.39860791215351</v>
      </c>
      <c r="CU21" s="63">
        <f t="shared" si="19"/>
        <v>9.3200582056497208</v>
      </c>
      <c r="CV21" s="63">
        <f t="shared" si="20"/>
        <v>26.058416670000021</v>
      </c>
      <c r="CW21" s="63">
        <f t="shared" si="21"/>
        <v>80.134330559999924</v>
      </c>
      <c r="CX21" s="63">
        <f t="shared" si="22"/>
        <v>260330.30001199999</v>
      </c>
      <c r="CY21" s="63">
        <f t="shared" si="23"/>
        <v>800803.59001599997</v>
      </c>
    </row>
    <row r="22" spans="1:103" x14ac:dyDescent="0.25">
      <c r="A22" s="67">
        <v>12</v>
      </c>
      <c r="B22" s="84"/>
      <c r="C22" s="81"/>
      <c r="D22" s="81"/>
      <c r="E22" s="81"/>
      <c r="F22" s="109" t="str">
        <f t="shared" si="27"/>
        <v/>
      </c>
      <c r="G22" s="81"/>
      <c r="H22" s="81"/>
      <c r="I22" s="85"/>
      <c r="J22" s="77" t="str">
        <f t="shared" si="28"/>
        <v/>
      </c>
      <c r="K22" s="77" t="str">
        <f t="shared" si="29"/>
        <v/>
      </c>
      <c r="L22" s="77" t="str">
        <f t="shared" si="30"/>
        <v/>
      </c>
      <c r="M22" s="79" t="str">
        <f t="shared" si="31"/>
        <v/>
      </c>
      <c r="N22" s="79" t="str">
        <f t="shared" si="32"/>
        <v/>
      </c>
      <c r="O22" s="79" t="str">
        <f t="shared" si="33"/>
        <v/>
      </c>
      <c r="P22" s="77" t="str">
        <f t="shared" si="34"/>
        <v/>
      </c>
      <c r="Q22" s="77" t="str">
        <f t="shared" si="35"/>
        <v/>
      </c>
      <c r="R22" s="77" t="str">
        <f t="shared" si="36"/>
        <v/>
      </c>
      <c r="S22" s="8"/>
      <c r="T22" s="74">
        <f t="shared" si="37"/>
        <v>-80.134330559999924</v>
      </c>
      <c r="U22" s="66">
        <f t="shared" si="38"/>
        <v>26.058416670000021</v>
      </c>
      <c r="V22" s="66">
        <f t="shared" si="39"/>
        <v>1.524</v>
      </c>
      <c r="W22" s="3" t="str">
        <f t="shared" si="40"/>
        <v/>
      </c>
      <c r="X22" s="3" t="str">
        <f t="shared" si="41"/>
        <v/>
      </c>
      <c r="Y22" s="3" t="str">
        <f ca="1">IF(Data!$O$47/2+4000&lt;W22,"Beyond",IF(Data!$O$47/2&gt;W22,"Behind","Inside"))</f>
        <v>Beyond</v>
      </c>
      <c r="Z22" s="20" t="e">
        <f ca="1">IF((TAN(Data!$AA$5*PI()/180)*W22)+(Data!$O$47/2)&lt;Data!$O$47/2,Data!$O$47/2,IF((TAN(Data!$AA$5*PI()/180)*W22)+(Data!$O$47/2)&gt;250,250,(TAN(Data!$AA$5*PI()/180)*W22)+(Data!$O$47/2)))</f>
        <v>#VALUE!</v>
      </c>
      <c r="AA22" s="3" t="str">
        <f t="shared" ca="1" si="42"/>
        <v>No</v>
      </c>
      <c r="AB22" s="20" t="e">
        <f ca="1">IF(((W22-(Data!$O$47/2))/8)&gt;0,((W22-(Data!$O$47/2))/8),0)</f>
        <v>#VALUE!</v>
      </c>
      <c r="AC22" s="20" t="e">
        <f t="shared" ca="1" si="43"/>
        <v>#VALUE!</v>
      </c>
      <c r="AD22" s="3" t="str">
        <f>IF(Data!$D$29="","",IF(AND($C22="",$D22="",$E22="",$G22="",$H22="",$I22=""),"",IF(AND(Y22="Inside",AA22="Yes",AC22&gt;0),"Yes - "&amp;ROUND(AC22,2)&amp;" ft","No")))</f>
        <v/>
      </c>
      <c r="AE22" s="3" t="str">
        <f ca="1">IF(Data!$O$47/2+2000&lt;W22,"Beyond",IF(Data!$O$47/2&gt;W22,"Behind","Inside"))</f>
        <v>Beyond</v>
      </c>
      <c r="AF22" s="20" t="e">
        <f ca="1">(TAN(Data!$AA$12*PI()/180)*W22)+(Data!$O$47/2)</f>
        <v>#VALUE!</v>
      </c>
      <c r="AG22" s="3" t="e">
        <f t="shared" ca="1" si="44"/>
        <v>#VALUE!</v>
      </c>
      <c r="AH22" s="20" t="e">
        <f t="shared" ca="1" si="45"/>
        <v>#VALUE!</v>
      </c>
      <c r="AI22" s="20" t="e">
        <f t="shared" ca="1" si="46"/>
        <v>#VALUE!</v>
      </c>
      <c r="AJ22" s="3" t="str">
        <f>IF(Data!$D$29="","",IF(AND($C22="",$D22="",$E22="",$G22="",$H22="",$I22=""),"",IF(AND(AE22="Inside",AG22="Yes",AI22&gt;0),"Yes - "&amp;ROUND(AI22,2)&amp;" ft","No")))</f>
        <v/>
      </c>
      <c r="AK22" s="3" t="str">
        <f ca="1">IF(0-Data!$O$47/2&gt;W22,"Behind",IF(Data!$O$47/2+4000&lt;W22,"Beyond","Inside"))</f>
        <v>Beyond</v>
      </c>
      <c r="AL22" s="3" t="e">
        <f t="shared" ca="1" si="47"/>
        <v>#VALUE!</v>
      </c>
      <c r="AM22" s="20" t="e">
        <f t="shared" ca="1" si="48"/>
        <v>#VALUE!</v>
      </c>
      <c r="AN22" s="20" t="e">
        <f t="shared" ca="1" si="49"/>
        <v>#VALUE!</v>
      </c>
      <c r="AO22" s="3" t="str">
        <f>IF(Data!$D$29="","",IF(AND($C22="",$D22="",$E22="",$G22="",$H22="",$I22=""),"",IF(AND(AK22="Inside",AL22="Yes",AN22&gt;0),"Yes - "&amp;ROUND(AN22,2)&amp;" ft","No")))</f>
        <v/>
      </c>
      <c r="AP22" s="72" t="str">
        <f t="shared" si="50"/>
        <v/>
      </c>
      <c r="AQ22" s="72" t="str">
        <f t="shared" si="51"/>
        <v/>
      </c>
      <c r="AR22" s="72" t="str">
        <f ca="1">IF(Data!$O$47/2+4000&lt;AP22,"Beyond",IF(Data!$O$47/2&gt;AP22,"Behind","Inside"))</f>
        <v>Beyond</v>
      </c>
      <c r="AS22" s="72" t="e">
        <f ca="1">IF((TAN(Data!$AA$5*PI()/180)*AP22)+(Data!$O$47/2)&lt;Data!$O$47/2,Data!$O$47/2,IF((TAN(Data!$AA$5*PI()/180)*AP22)+(Data!$O$47/2)&gt;250,250,(TAN(Data!$AA$5*PI()/180)*AP22)+(Data!$O$47/2)))</f>
        <v>#VALUE!</v>
      </c>
      <c r="AT22" s="72" t="str">
        <f t="shared" ca="1" si="52"/>
        <v>No</v>
      </c>
      <c r="AU22" s="72" t="e">
        <f ca="1">IF(((AP22-(Data!$O$47/2))/8)&gt;0,((AP22-(Data!$O$47/2))/8),0)</f>
        <v>#VALUE!</v>
      </c>
      <c r="AV22" s="72" t="e">
        <f t="shared" ca="1" si="53"/>
        <v>#VALUE!</v>
      </c>
      <c r="AW22" s="72" t="str">
        <f>IF(Data!$D$30="","",IF(AND($C22="",$D22="",$E22="",$G22="",$H22="",$I22=""),"",IF(AND(AR22="Inside",AT22="Yes",AV22&gt;0),"Yes - "&amp;ROUND(AV22,2)&amp;" ft","No")))</f>
        <v/>
      </c>
      <c r="AX22" s="72" t="str">
        <f ca="1">IF(Data!$O$47/2+2000&lt;AP22,"Beyond",IF(Data!$O$47/2&gt;AP22,"Behind","Inside"))</f>
        <v>Beyond</v>
      </c>
      <c r="AY22" s="72" t="e">
        <f ca="1">(TAN(Data!$AA$12*PI()/180)*AP22)+(Data!$O$47/2)</f>
        <v>#VALUE!</v>
      </c>
      <c r="AZ22" s="72" t="e">
        <f t="shared" ca="1" si="54"/>
        <v>#VALUE!</v>
      </c>
      <c r="BA22" s="72" t="e">
        <f t="shared" ca="1" si="55"/>
        <v>#VALUE!</v>
      </c>
      <c r="BB22" s="72" t="e">
        <f t="shared" ca="1" si="56"/>
        <v>#VALUE!</v>
      </c>
      <c r="BC22" s="72" t="str">
        <f>IF(Data!$D$30="","",IF(AND($C22="",$D22="",$E22="",$G22="",$H22="",$I22=""),"",IF(AND(AX22="Inside",AZ22="Yes",BB22&gt;0),"Yes - "&amp;ROUND(BB22,2)&amp;" ft","No")))</f>
        <v/>
      </c>
      <c r="BD22" s="72" t="str">
        <f ca="1">IF(0-Data!$O$47/2&gt;AP22,"Behind",IF(Data!$O$47/2+4000&lt;AP22,"Beyond","Inside"))</f>
        <v>Beyond</v>
      </c>
      <c r="BE22" s="72" t="e">
        <f t="shared" ca="1" si="57"/>
        <v>#VALUE!</v>
      </c>
      <c r="BF22" s="72" t="e">
        <f t="shared" ca="1" si="58"/>
        <v>#VALUE!</v>
      </c>
      <c r="BG22" s="72" t="e">
        <f t="shared" ca="1" si="59"/>
        <v>#VALUE!</v>
      </c>
      <c r="BH22" s="72" t="str">
        <f>IF(Data!$D$30="","",IF(AND($C22="",$D22="",$E22="",$G22="",$H22="",$I22=""),"",IF(AND(BD22="Inside",BE22="Yes",BG22&gt;0),"Yes - "&amp;ROUND(BG22,2)&amp;" ft","No")))</f>
        <v/>
      </c>
      <c r="BI22" s="3" t="str">
        <f t="shared" si="60"/>
        <v/>
      </c>
      <c r="BJ22" s="3" t="str">
        <f t="shared" si="61"/>
        <v/>
      </c>
      <c r="BK22" s="3" t="str">
        <f ca="1">IF(Data!$O$47/2+4000&lt;BI22,"Beyond",IF(Data!$O$47/2&gt;BI22,"Behind","Inside"))</f>
        <v>Beyond</v>
      </c>
      <c r="BL22" s="20" t="e">
        <f ca="1">IF((TAN(Data!$AA$5*PI()/180)*BI22)+(Data!$O$47/2)&lt;Data!$O$47/2,Data!$O$47/2,IF((TAN(Data!$AA$5*PI()/180)*BI22)+(Data!$O$47/2)&gt;250,250,(TAN(Data!$AA$5*PI()/180)*BI22)+(Data!$O$47/2)))</f>
        <v>#VALUE!</v>
      </c>
      <c r="BM22" s="3" t="str">
        <f t="shared" ca="1" si="62"/>
        <v>No</v>
      </c>
      <c r="BN22" s="20" t="e">
        <f ca="1">IF(((BI22-(Data!$O$47/2))/8)&gt;0,((BI22-(Data!$O$47/2))/8),0)</f>
        <v>#VALUE!</v>
      </c>
      <c r="BO22" s="20" t="e">
        <f t="shared" ca="1" si="63"/>
        <v>#VALUE!</v>
      </c>
      <c r="BP22" s="3" t="str">
        <f>IF(Data!$D$31="","",IF(AND($C22="",$D22="",$E22="",$G22="",$H22="",$I22=""),"",IF(AND(BK22="Inside",BM22="Yes",BO22&gt;0),"Yes - "&amp;ROUND(BO22,2)&amp;" ft","No")))</f>
        <v/>
      </c>
      <c r="BQ22" s="3" t="str">
        <f ca="1">IF(Data!$O$47/2+2000&lt;BI22,"Beyond",IF(Data!$O$47/2&gt;BI22,"Behind","Inside"))</f>
        <v>Beyond</v>
      </c>
      <c r="BR22" s="20" t="e">
        <f ca="1">(TAN(Data!$AA$12*PI()/180)*BI22)+(Data!$O$47/2)</f>
        <v>#VALUE!</v>
      </c>
      <c r="BS22" s="3" t="e">
        <f t="shared" ca="1" si="64"/>
        <v>#VALUE!</v>
      </c>
      <c r="BT22" s="20" t="e">
        <f t="shared" ca="1" si="65"/>
        <v>#VALUE!</v>
      </c>
      <c r="BU22" s="20" t="e">
        <f t="shared" ca="1" si="66"/>
        <v>#VALUE!</v>
      </c>
      <c r="BV22" s="3" t="str">
        <f>IF(Data!$D$31="","",IF(AND($C22="",$D22="",$E22="",$G22="",$H22="",$I22=""),"",IF(AND(BQ22="Inside",BS22="Yes",BU22&gt;0),"Yes - "&amp;ROUND(BU22,2)&amp;" ft","No")))</f>
        <v/>
      </c>
      <c r="BW22" s="3" t="str">
        <f ca="1">IF(0-Data!$O$47/2&gt;BI22,"Behind",IF(Data!$O$47/2+4000&lt;BI22,"Beyond","Inside"))</f>
        <v>Beyond</v>
      </c>
      <c r="BX22" s="3" t="e">
        <f t="shared" ca="1" si="67"/>
        <v>#VALUE!</v>
      </c>
      <c r="BY22" s="20" t="e">
        <f t="shared" ca="1" si="68"/>
        <v>#VALUE!</v>
      </c>
      <c r="BZ22" s="20" t="e">
        <f t="shared" ca="1" si="69"/>
        <v>#VALUE!</v>
      </c>
      <c r="CA22" s="3" t="str">
        <f>IF(Data!$D$31="","",IF(AND($C22="",$D22="",$E22="",$G22="",$H22="",$I22=""),"",IF(AND(BW22="Inside",BX22="Yes",BZ22&gt;0),"Yes - "&amp;ROUND(BZ22,2)&amp;" ft","No")))</f>
        <v/>
      </c>
      <c r="CB22" s="9"/>
      <c r="CC22" t="str">
        <f t="shared" si="70"/>
        <v>No</v>
      </c>
      <c r="CD22" s="62" t="s">
        <v>528</v>
      </c>
      <c r="CE22" s="63">
        <f t="shared" si="7"/>
        <v>0</v>
      </c>
      <c r="CF22" s="63">
        <f t="shared" si="5"/>
        <v>260330.3</v>
      </c>
      <c r="CG22" s="63">
        <f t="shared" si="6"/>
        <v>800803.59</v>
      </c>
      <c r="CH22" s="63">
        <f t="shared" si="24"/>
        <v>354</v>
      </c>
      <c r="CI22" s="63">
        <f t="shared" si="9"/>
        <v>0</v>
      </c>
      <c r="CJ22" s="63">
        <f t="shared" si="10"/>
        <v>0.45480516874807703</v>
      </c>
      <c r="CK22" s="63">
        <f t="shared" si="11"/>
        <v>1.39860791215351</v>
      </c>
      <c r="CL22" s="63">
        <f t="shared" si="25"/>
        <v>354</v>
      </c>
      <c r="CM22" s="63">
        <f t="shared" si="26"/>
        <v>6.1784655520599303</v>
      </c>
      <c r="CN22" s="63">
        <f t="shared" si="12"/>
        <v>0</v>
      </c>
      <c r="CO22" s="63">
        <f t="shared" si="13"/>
        <v>1.00543891812539</v>
      </c>
      <c r="CP22" s="63">
        <f t="shared" si="14"/>
        <v>0</v>
      </c>
      <c r="CQ22" s="63">
        <f t="shared" si="15"/>
        <v>0.45480516874807703</v>
      </c>
      <c r="CR22" s="63">
        <f t="shared" si="16"/>
        <v>0</v>
      </c>
      <c r="CS22" s="63">
        <f t="shared" si="17"/>
        <v>0.45480516874807703</v>
      </c>
      <c r="CT22" s="63">
        <f t="shared" si="18"/>
        <v>1.39860791215351</v>
      </c>
      <c r="CU22" s="63">
        <f t="shared" si="19"/>
        <v>9.3200582056497208</v>
      </c>
      <c r="CV22" s="63">
        <f t="shared" si="20"/>
        <v>26.058416670000021</v>
      </c>
      <c r="CW22" s="63">
        <f t="shared" si="21"/>
        <v>80.134330559999924</v>
      </c>
      <c r="CX22" s="63">
        <f t="shared" si="22"/>
        <v>260330.30001199999</v>
      </c>
      <c r="CY22" s="63">
        <f t="shared" si="23"/>
        <v>800803.59001599997</v>
      </c>
    </row>
    <row r="23" spans="1:103" x14ac:dyDescent="0.25">
      <c r="A23" s="67">
        <v>13</v>
      </c>
      <c r="B23" s="84"/>
      <c r="C23" s="84"/>
      <c r="D23" s="84"/>
      <c r="E23" s="84"/>
      <c r="F23" s="109" t="str">
        <f t="shared" si="27"/>
        <v/>
      </c>
      <c r="G23" s="81"/>
      <c r="H23" s="81"/>
      <c r="I23" s="85"/>
      <c r="J23" s="77" t="str">
        <f t="shared" si="28"/>
        <v/>
      </c>
      <c r="K23" s="77" t="str">
        <f t="shared" si="29"/>
        <v/>
      </c>
      <c r="L23" s="77" t="str">
        <f t="shared" si="30"/>
        <v/>
      </c>
      <c r="M23" s="79" t="str">
        <f t="shared" si="31"/>
        <v/>
      </c>
      <c r="N23" s="79" t="str">
        <f t="shared" si="32"/>
        <v/>
      </c>
      <c r="O23" s="79" t="str">
        <f t="shared" si="33"/>
        <v/>
      </c>
      <c r="P23" s="77" t="str">
        <f t="shared" si="34"/>
        <v/>
      </c>
      <c r="Q23" s="77" t="str">
        <f t="shared" si="35"/>
        <v/>
      </c>
      <c r="R23" s="77" t="str">
        <f t="shared" si="36"/>
        <v/>
      </c>
      <c r="S23" s="8"/>
      <c r="T23" s="74">
        <f t="shared" si="37"/>
        <v>-80.134330559999924</v>
      </c>
      <c r="U23" s="66">
        <f t="shared" si="38"/>
        <v>26.058416670000021</v>
      </c>
      <c r="V23" s="66">
        <f t="shared" si="39"/>
        <v>1.524</v>
      </c>
      <c r="W23" s="3" t="str">
        <f t="shared" si="40"/>
        <v/>
      </c>
      <c r="X23" s="3" t="str">
        <f t="shared" si="41"/>
        <v/>
      </c>
      <c r="Y23" s="3" t="str">
        <f ca="1">IF(Data!$O$47/2+4000&lt;W23,"Beyond",IF(Data!$O$47/2&gt;W23,"Behind","Inside"))</f>
        <v>Beyond</v>
      </c>
      <c r="Z23" s="20" t="e">
        <f ca="1">IF((TAN(Data!$AA$5*PI()/180)*W23)+(Data!$O$47/2)&lt;Data!$O$47/2,Data!$O$47/2,IF((TAN(Data!$AA$5*PI()/180)*W23)+(Data!$O$47/2)&gt;250,250,(TAN(Data!$AA$5*PI()/180)*W23)+(Data!$O$47/2)))</f>
        <v>#VALUE!</v>
      </c>
      <c r="AA23" s="3" t="str">
        <f t="shared" ca="1" si="42"/>
        <v>No</v>
      </c>
      <c r="AB23" s="20" t="e">
        <f ca="1">IF(((W23-(Data!$O$47/2))/8)&gt;0,((W23-(Data!$O$47/2))/8),0)</f>
        <v>#VALUE!</v>
      </c>
      <c r="AC23" s="20" t="e">
        <f t="shared" ca="1" si="43"/>
        <v>#VALUE!</v>
      </c>
      <c r="AD23" s="3" t="str">
        <f>IF(Data!$D$29="","",IF(AND($C23="",$D23="",$E23="",$G23="",$H23="",$I23=""),"",IF(AND(Y23="Inside",AA23="Yes",AC23&gt;0),"Yes - "&amp;ROUND(AC23,2)&amp;" ft","No")))</f>
        <v/>
      </c>
      <c r="AE23" s="3" t="str">
        <f ca="1">IF(Data!$O$47/2+2000&lt;W23,"Beyond",IF(Data!$O$47/2&gt;W23,"Behind","Inside"))</f>
        <v>Beyond</v>
      </c>
      <c r="AF23" s="20" t="e">
        <f ca="1">(TAN(Data!$AA$12*PI()/180)*W23)+(Data!$O$47/2)</f>
        <v>#VALUE!</v>
      </c>
      <c r="AG23" s="3" t="e">
        <f t="shared" ca="1" si="44"/>
        <v>#VALUE!</v>
      </c>
      <c r="AH23" s="20" t="e">
        <f t="shared" ca="1" si="45"/>
        <v>#VALUE!</v>
      </c>
      <c r="AI23" s="20" t="e">
        <f t="shared" ca="1" si="46"/>
        <v>#VALUE!</v>
      </c>
      <c r="AJ23" s="3" t="str">
        <f>IF(Data!$D$29="","",IF(AND($C23="",$D23="",$E23="",$G23="",$H23="",$I23=""),"",IF(AND(AE23="Inside",AG23="Yes",AI23&gt;0),"Yes - "&amp;ROUND(AI23,2)&amp;" ft","No")))</f>
        <v/>
      </c>
      <c r="AK23" s="3" t="str">
        <f ca="1">IF(0-Data!$O$47/2&gt;W23,"Behind",IF(Data!$O$47/2+4000&lt;W23,"Beyond","Inside"))</f>
        <v>Beyond</v>
      </c>
      <c r="AL23" s="3" t="e">
        <f t="shared" ca="1" si="47"/>
        <v>#VALUE!</v>
      </c>
      <c r="AM23" s="20" t="e">
        <f t="shared" ca="1" si="48"/>
        <v>#VALUE!</v>
      </c>
      <c r="AN23" s="20" t="e">
        <f t="shared" ca="1" si="49"/>
        <v>#VALUE!</v>
      </c>
      <c r="AO23" s="3" t="str">
        <f>IF(Data!$D$29="","",IF(AND($C23="",$D23="",$E23="",$G23="",$H23="",$I23=""),"",IF(AND(AK23="Inside",AL23="Yes",AN23&gt;0),"Yes - "&amp;ROUND(AN23,2)&amp;" ft","No")))</f>
        <v/>
      </c>
      <c r="AP23" s="72" t="str">
        <f t="shared" si="50"/>
        <v/>
      </c>
      <c r="AQ23" s="72" t="str">
        <f t="shared" si="51"/>
        <v/>
      </c>
      <c r="AR23" s="72" t="str">
        <f ca="1">IF(Data!$O$47/2+4000&lt;AP23,"Beyond",IF(Data!$O$47/2&gt;AP23,"Behind","Inside"))</f>
        <v>Beyond</v>
      </c>
      <c r="AS23" s="72" t="e">
        <f ca="1">IF((TAN(Data!$AA$5*PI()/180)*AP23)+(Data!$O$47/2)&lt;Data!$O$47/2,Data!$O$47/2,IF((TAN(Data!$AA$5*PI()/180)*AP23)+(Data!$O$47/2)&gt;250,250,(TAN(Data!$AA$5*PI()/180)*AP23)+(Data!$O$47/2)))</f>
        <v>#VALUE!</v>
      </c>
      <c r="AT23" s="72" t="str">
        <f t="shared" ca="1" si="52"/>
        <v>No</v>
      </c>
      <c r="AU23" s="72" t="e">
        <f ca="1">IF(((AP23-(Data!$O$47/2))/8)&gt;0,((AP23-(Data!$O$47/2))/8),0)</f>
        <v>#VALUE!</v>
      </c>
      <c r="AV23" s="72" t="e">
        <f t="shared" ca="1" si="53"/>
        <v>#VALUE!</v>
      </c>
      <c r="AW23" s="72" t="str">
        <f>IF(Data!$D$30="","",IF(AND($C23="",$D23="",$E23="",$G23="",$H23="",$I23=""),"",IF(AND(AR23="Inside",AT23="Yes",AV23&gt;0),"Yes - "&amp;ROUND(AV23,2)&amp;" ft","No")))</f>
        <v/>
      </c>
      <c r="AX23" s="72" t="str">
        <f ca="1">IF(Data!$O$47/2+2000&lt;AP23,"Beyond",IF(Data!$O$47/2&gt;AP23,"Behind","Inside"))</f>
        <v>Beyond</v>
      </c>
      <c r="AY23" s="72" t="e">
        <f ca="1">(TAN(Data!$AA$12*PI()/180)*AP23)+(Data!$O$47/2)</f>
        <v>#VALUE!</v>
      </c>
      <c r="AZ23" s="72" t="e">
        <f t="shared" ca="1" si="54"/>
        <v>#VALUE!</v>
      </c>
      <c r="BA23" s="72" t="e">
        <f t="shared" ca="1" si="55"/>
        <v>#VALUE!</v>
      </c>
      <c r="BB23" s="72" t="e">
        <f t="shared" ca="1" si="56"/>
        <v>#VALUE!</v>
      </c>
      <c r="BC23" s="72" t="str">
        <f>IF(Data!$D$30="","",IF(AND($C23="",$D23="",$E23="",$G23="",$H23="",$I23=""),"",IF(AND(AX23="Inside",AZ23="Yes",BB23&gt;0),"Yes - "&amp;ROUND(BB23,2)&amp;" ft","No")))</f>
        <v/>
      </c>
      <c r="BD23" s="72" t="str">
        <f ca="1">IF(0-Data!$O$47/2&gt;AP23,"Behind",IF(Data!$O$47/2+4000&lt;AP23,"Beyond","Inside"))</f>
        <v>Beyond</v>
      </c>
      <c r="BE23" s="72" t="e">
        <f t="shared" ca="1" si="57"/>
        <v>#VALUE!</v>
      </c>
      <c r="BF23" s="72" t="e">
        <f t="shared" ca="1" si="58"/>
        <v>#VALUE!</v>
      </c>
      <c r="BG23" s="72" t="e">
        <f t="shared" ca="1" si="59"/>
        <v>#VALUE!</v>
      </c>
      <c r="BH23" s="72" t="str">
        <f>IF(Data!$D$30="","",IF(AND($C23="",$D23="",$E23="",$G23="",$H23="",$I23=""),"",IF(AND(BD23="Inside",BE23="Yes",BG23&gt;0),"Yes - "&amp;ROUND(BG23,2)&amp;" ft","No")))</f>
        <v/>
      </c>
      <c r="BI23" s="3" t="str">
        <f t="shared" si="60"/>
        <v/>
      </c>
      <c r="BJ23" s="3" t="str">
        <f t="shared" si="61"/>
        <v/>
      </c>
      <c r="BK23" s="3" t="str">
        <f ca="1">IF(Data!$O$47/2+4000&lt;BI23,"Beyond",IF(Data!$O$47/2&gt;BI23,"Behind","Inside"))</f>
        <v>Beyond</v>
      </c>
      <c r="BL23" s="20" t="e">
        <f ca="1">IF((TAN(Data!$AA$5*PI()/180)*BI23)+(Data!$O$47/2)&lt;Data!$O$47/2,Data!$O$47/2,IF((TAN(Data!$AA$5*PI()/180)*BI23)+(Data!$O$47/2)&gt;250,250,(TAN(Data!$AA$5*PI()/180)*BI23)+(Data!$O$47/2)))</f>
        <v>#VALUE!</v>
      </c>
      <c r="BM23" s="3" t="str">
        <f t="shared" ca="1" si="62"/>
        <v>No</v>
      </c>
      <c r="BN23" s="20" t="e">
        <f ca="1">IF(((BI23-(Data!$O$47/2))/8)&gt;0,((BI23-(Data!$O$47/2))/8),0)</f>
        <v>#VALUE!</v>
      </c>
      <c r="BO23" s="20" t="e">
        <f t="shared" ca="1" si="63"/>
        <v>#VALUE!</v>
      </c>
      <c r="BP23" s="3" t="str">
        <f>IF(Data!$D$31="","",IF(AND($C23="",$D23="",$E23="",$G23="",$H23="",$I23=""),"",IF(AND(BK23="Inside",BM23="Yes",BO23&gt;0),"Yes - "&amp;ROUND(BO23,2)&amp;" ft","No")))</f>
        <v/>
      </c>
      <c r="BQ23" s="3" t="str">
        <f ca="1">IF(Data!$O$47/2+2000&lt;BI23,"Beyond",IF(Data!$O$47/2&gt;BI23,"Behind","Inside"))</f>
        <v>Beyond</v>
      </c>
      <c r="BR23" s="20" t="e">
        <f ca="1">(TAN(Data!$AA$12*PI()/180)*BI23)+(Data!$O$47/2)</f>
        <v>#VALUE!</v>
      </c>
      <c r="BS23" s="3" t="e">
        <f t="shared" ca="1" si="64"/>
        <v>#VALUE!</v>
      </c>
      <c r="BT23" s="20" t="e">
        <f t="shared" ca="1" si="65"/>
        <v>#VALUE!</v>
      </c>
      <c r="BU23" s="20" t="e">
        <f t="shared" ca="1" si="66"/>
        <v>#VALUE!</v>
      </c>
      <c r="BV23" s="3" t="str">
        <f>IF(Data!$D$31="","",IF(AND($C23="",$D23="",$E23="",$G23="",$H23="",$I23=""),"",IF(AND(BQ23="Inside",BS23="Yes",BU23&gt;0),"Yes - "&amp;ROUND(BU23,2)&amp;" ft","No")))</f>
        <v/>
      </c>
      <c r="BW23" s="3" t="str">
        <f ca="1">IF(0-Data!$O$47/2&gt;BI23,"Behind",IF(Data!$O$47/2+4000&lt;BI23,"Beyond","Inside"))</f>
        <v>Beyond</v>
      </c>
      <c r="BX23" s="3" t="e">
        <f t="shared" ca="1" si="67"/>
        <v>#VALUE!</v>
      </c>
      <c r="BY23" s="20" t="e">
        <f t="shared" ca="1" si="68"/>
        <v>#VALUE!</v>
      </c>
      <c r="BZ23" s="20" t="e">
        <f t="shared" ca="1" si="69"/>
        <v>#VALUE!</v>
      </c>
      <c r="CA23" s="3" t="str">
        <f>IF(Data!$D$31="","",IF(AND($C23="",$D23="",$E23="",$G23="",$H23="",$I23=""),"",IF(AND(BW23="Inside",BX23="Yes",BZ23&gt;0),"Yes - "&amp;ROUND(BZ23,2)&amp;" ft","No")))</f>
        <v/>
      </c>
      <c r="CB23" s="9"/>
      <c r="CC23" t="str">
        <f t="shared" si="70"/>
        <v>No</v>
      </c>
      <c r="CD23" s="62" t="s">
        <v>529</v>
      </c>
      <c r="CE23" s="63">
        <f t="shared" si="7"/>
        <v>0</v>
      </c>
      <c r="CF23" s="63">
        <f t="shared" si="5"/>
        <v>260330.3</v>
      </c>
      <c r="CG23" s="63">
        <f t="shared" si="6"/>
        <v>800803.59</v>
      </c>
      <c r="CH23" s="63">
        <f t="shared" si="24"/>
        <v>354</v>
      </c>
      <c r="CI23" s="63">
        <f t="shared" si="9"/>
        <v>0</v>
      </c>
      <c r="CJ23" s="63">
        <f t="shared" si="10"/>
        <v>0.45480516874807703</v>
      </c>
      <c r="CK23" s="63">
        <f t="shared" si="11"/>
        <v>1.39860791215351</v>
      </c>
      <c r="CL23" s="63">
        <f t="shared" si="25"/>
        <v>354</v>
      </c>
      <c r="CM23" s="63">
        <f t="shared" si="26"/>
        <v>6.1784655520599303</v>
      </c>
      <c r="CN23" s="63">
        <f t="shared" si="12"/>
        <v>0</v>
      </c>
      <c r="CO23" s="63">
        <f t="shared" si="13"/>
        <v>1.00543891812539</v>
      </c>
      <c r="CP23" s="63">
        <f t="shared" si="14"/>
        <v>0</v>
      </c>
      <c r="CQ23" s="63">
        <f t="shared" si="15"/>
        <v>0.45480516874807703</v>
      </c>
      <c r="CR23" s="63">
        <f t="shared" si="16"/>
        <v>0</v>
      </c>
      <c r="CS23" s="63">
        <f t="shared" si="17"/>
        <v>0.45480516874807703</v>
      </c>
      <c r="CT23" s="63">
        <f t="shared" si="18"/>
        <v>1.39860791215351</v>
      </c>
      <c r="CU23" s="63">
        <f t="shared" si="19"/>
        <v>9.3200582056497208</v>
      </c>
      <c r="CV23" s="63">
        <f t="shared" si="20"/>
        <v>26.058416670000021</v>
      </c>
      <c r="CW23" s="63">
        <f t="shared" si="21"/>
        <v>80.134330559999924</v>
      </c>
      <c r="CX23" s="63">
        <f t="shared" si="22"/>
        <v>260330.30001199999</v>
      </c>
      <c r="CY23" s="63">
        <f t="shared" si="23"/>
        <v>800803.59001599997</v>
      </c>
    </row>
    <row r="24" spans="1:103" x14ac:dyDescent="0.25">
      <c r="A24" s="67">
        <v>14</v>
      </c>
      <c r="B24" s="84"/>
      <c r="C24" s="84"/>
      <c r="D24" s="84"/>
      <c r="E24" s="84"/>
      <c r="F24" s="109" t="str">
        <f t="shared" si="27"/>
        <v/>
      </c>
      <c r="G24" s="81"/>
      <c r="H24" s="81"/>
      <c r="I24" s="85"/>
      <c r="J24" s="77" t="str">
        <f t="shared" si="28"/>
        <v/>
      </c>
      <c r="K24" s="77" t="str">
        <f t="shared" si="29"/>
        <v/>
      </c>
      <c r="L24" s="77" t="str">
        <f t="shared" si="30"/>
        <v/>
      </c>
      <c r="M24" s="79" t="str">
        <f t="shared" si="31"/>
        <v/>
      </c>
      <c r="N24" s="79" t="str">
        <f t="shared" si="32"/>
        <v/>
      </c>
      <c r="O24" s="79" t="str">
        <f t="shared" si="33"/>
        <v/>
      </c>
      <c r="P24" s="77" t="str">
        <f t="shared" si="34"/>
        <v/>
      </c>
      <c r="Q24" s="77" t="str">
        <f t="shared" si="35"/>
        <v/>
      </c>
      <c r="R24" s="77" t="str">
        <f t="shared" si="36"/>
        <v/>
      </c>
      <c r="S24" s="8"/>
      <c r="T24" s="74">
        <f t="shared" si="37"/>
        <v>-80.134330559999924</v>
      </c>
      <c r="U24" s="66">
        <f t="shared" si="38"/>
        <v>26.058416670000021</v>
      </c>
      <c r="V24" s="66">
        <f t="shared" si="39"/>
        <v>1.524</v>
      </c>
      <c r="W24" s="3" t="str">
        <f t="shared" si="40"/>
        <v/>
      </c>
      <c r="X24" s="3" t="str">
        <f t="shared" si="41"/>
        <v/>
      </c>
      <c r="Y24" s="3" t="str">
        <f ca="1">IF(Data!$O$47/2+4000&lt;W24,"Beyond",IF(Data!$O$47/2&gt;W24,"Behind","Inside"))</f>
        <v>Beyond</v>
      </c>
      <c r="Z24" s="20" t="e">
        <f ca="1">IF((TAN(Data!$AA$5*PI()/180)*W24)+(Data!$O$47/2)&lt;Data!$O$47/2,Data!$O$47/2,IF((TAN(Data!$AA$5*PI()/180)*W24)+(Data!$O$47/2)&gt;250,250,(TAN(Data!$AA$5*PI()/180)*W24)+(Data!$O$47/2)))</f>
        <v>#VALUE!</v>
      </c>
      <c r="AA24" s="3" t="str">
        <f t="shared" ca="1" si="42"/>
        <v>No</v>
      </c>
      <c r="AB24" s="20" t="e">
        <f ca="1">IF(((W24-(Data!$O$47/2))/8)&gt;0,((W24-(Data!$O$47/2))/8),0)</f>
        <v>#VALUE!</v>
      </c>
      <c r="AC24" s="20" t="e">
        <f t="shared" ca="1" si="43"/>
        <v>#VALUE!</v>
      </c>
      <c r="AD24" s="3" t="str">
        <f>IF(Data!$D$29="","",IF(AND($C24="",$D24="",$E24="",$G24="",$H24="",$I24=""),"",IF(AND(Y24="Inside",AA24="Yes",AC24&gt;0),"Yes - "&amp;ROUND(AC24,2)&amp;" ft","No")))</f>
        <v/>
      </c>
      <c r="AE24" s="3" t="str">
        <f ca="1">IF(Data!$O$47/2+2000&lt;W24,"Beyond",IF(Data!$O$47/2&gt;W24,"Behind","Inside"))</f>
        <v>Beyond</v>
      </c>
      <c r="AF24" s="20" t="e">
        <f ca="1">(TAN(Data!$AA$12*PI()/180)*W24)+(Data!$O$47/2)</f>
        <v>#VALUE!</v>
      </c>
      <c r="AG24" s="3" t="e">
        <f t="shared" ca="1" si="44"/>
        <v>#VALUE!</v>
      </c>
      <c r="AH24" s="20" t="e">
        <f t="shared" ca="1" si="45"/>
        <v>#VALUE!</v>
      </c>
      <c r="AI24" s="20" t="e">
        <f t="shared" ca="1" si="46"/>
        <v>#VALUE!</v>
      </c>
      <c r="AJ24" s="3" t="str">
        <f>IF(Data!$D$29="","",IF(AND($C24="",$D24="",$E24="",$G24="",$H24="",$I24=""),"",IF(AND(AE24="Inside",AG24="Yes",AI24&gt;0),"Yes - "&amp;ROUND(AI24,2)&amp;" ft","No")))</f>
        <v/>
      </c>
      <c r="AK24" s="3" t="str">
        <f ca="1">IF(0-Data!$O$47/2&gt;W24,"Behind",IF(Data!$O$47/2+4000&lt;W24,"Beyond","Inside"))</f>
        <v>Beyond</v>
      </c>
      <c r="AL24" s="3" t="e">
        <f t="shared" ca="1" si="47"/>
        <v>#VALUE!</v>
      </c>
      <c r="AM24" s="20" t="e">
        <f t="shared" ca="1" si="48"/>
        <v>#VALUE!</v>
      </c>
      <c r="AN24" s="20" t="e">
        <f t="shared" ca="1" si="49"/>
        <v>#VALUE!</v>
      </c>
      <c r="AO24" s="3" t="str">
        <f>IF(Data!$D$29="","",IF(AND($C24="",$D24="",$E24="",$G24="",$H24="",$I24=""),"",IF(AND(AK24="Inside",AL24="Yes",AN24&gt;0),"Yes - "&amp;ROUND(AN24,2)&amp;" ft","No")))</f>
        <v/>
      </c>
      <c r="AP24" s="72" t="str">
        <f t="shared" si="50"/>
        <v/>
      </c>
      <c r="AQ24" s="72" t="str">
        <f t="shared" si="51"/>
        <v/>
      </c>
      <c r="AR24" s="72" t="str">
        <f ca="1">IF(Data!$O$47/2+4000&lt;AP24,"Beyond",IF(Data!$O$47/2&gt;AP24,"Behind","Inside"))</f>
        <v>Beyond</v>
      </c>
      <c r="AS24" s="72" t="e">
        <f ca="1">IF((TAN(Data!$AA$5*PI()/180)*AP24)+(Data!$O$47/2)&lt;Data!$O$47/2,Data!$O$47/2,IF((TAN(Data!$AA$5*PI()/180)*AP24)+(Data!$O$47/2)&gt;250,250,(TAN(Data!$AA$5*PI()/180)*AP24)+(Data!$O$47/2)))</f>
        <v>#VALUE!</v>
      </c>
      <c r="AT24" s="72" t="str">
        <f t="shared" ca="1" si="52"/>
        <v>No</v>
      </c>
      <c r="AU24" s="72" t="e">
        <f ca="1">IF(((AP24-(Data!$O$47/2))/8)&gt;0,((AP24-(Data!$O$47/2))/8),0)</f>
        <v>#VALUE!</v>
      </c>
      <c r="AV24" s="72" t="e">
        <f t="shared" ca="1" si="53"/>
        <v>#VALUE!</v>
      </c>
      <c r="AW24" s="72" t="str">
        <f>IF(Data!$D$30="","",IF(AND($C24="",$D24="",$E24="",$G24="",$H24="",$I24=""),"",IF(AND(AR24="Inside",AT24="Yes",AV24&gt;0),"Yes - "&amp;ROUND(AV24,2)&amp;" ft","No")))</f>
        <v/>
      </c>
      <c r="AX24" s="72" t="str">
        <f ca="1">IF(Data!$O$47/2+2000&lt;AP24,"Beyond",IF(Data!$O$47/2&gt;AP24,"Behind","Inside"))</f>
        <v>Beyond</v>
      </c>
      <c r="AY24" s="72" t="e">
        <f ca="1">(TAN(Data!$AA$12*PI()/180)*AP24)+(Data!$O$47/2)</f>
        <v>#VALUE!</v>
      </c>
      <c r="AZ24" s="72" t="e">
        <f t="shared" ca="1" si="54"/>
        <v>#VALUE!</v>
      </c>
      <c r="BA24" s="72" t="e">
        <f t="shared" ca="1" si="55"/>
        <v>#VALUE!</v>
      </c>
      <c r="BB24" s="72" t="e">
        <f t="shared" ca="1" si="56"/>
        <v>#VALUE!</v>
      </c>
      <c r="BC24" s="72" t="str">
        <f>IF(Data!$D$30="","",IF(AND($C24="",$D24="",$E24="",$G24="",$H24="",$I24=""),"",IF(AND(AX24="Inside",AZ24="Yes",BB24&gt;0),"Yes - "&amp;ROUND(BB24,2)&amp;" ft","No")))</f>
        <v/>
      </c>
      <c r="BD24" s="72" t="str">
        <f ca="1">IF(0-Data!$O$47/2&gt;AP24,"Behind",IF(Data!$O$47/2+4000&lt;AP24,"Beyond","Inside"))</f>
        <v>Beyond</v>
      </c>
      <c r="BE24" s="72" t="e">
        <f t="shared" ca="1" si="57"/>
        <v>#VALUE!</v>
      </c>
      <c r="BF24" s="72" t="e">
        <f t="shared" ca="1" si="58"/>
        <v>#VALUE!</v>
      </c>
      <c r="BG24" s="72" t="e">
        <f t="shared" ca="1" si="59"/>
        <v>#VALUE!</v>
      </c>
      <c r="BH24" s="72" t="str">
        <f>IF(Data!$D$30="","",IF(AND($C24="",$D24="",$E24="",$G24="",$H24="",$I24=""),"",IF(AND(BD24="Inside",BE24="Yes",BG24&gt;0),"Yes - "&amp;ROUND(BG24,2)&amp;" ft","No")))</f>
        <v/>
      </c>
      <c r="BI24" s="3" t="str">
        <f t="shared" si="60"/>
        <v/>
      </c>
      <c r="BJ24" s="3" t="str">
        <f t="shared" si="61"/>
        <v/>
      </c>
      <c r="BK24" s="3" t="str">
        <f ca="1">IF(Data!$O$47/2+4000&lt;BI24,"Beyond",IF(Data!$O$47/2&gt;BI24,"Behind","Inside"))</f>
        <v>Beyond</v>
      </c>
      <c r="BL24" s="20" t="e">
        <f ca="1">IF((TAN(Data!$AA$5*PI()/180)*BI24)+(Data!$O$47/2)&lt;Data!$O$47/2,Data!$O$47/2,IF((TAN(Data!$AA$5*PI()/180)*BI24)+(Data!$O$47/2)&gt;250,250,(TAN(Data!$AA$5*PI()/180)*BI24)+(Data!$O$47/2)))</f>
        <v>#VALUE!</v>
      </c>
      <c r="BM24" s="3" t="str">
        <f t="shared" ca="1" si="62"/>
        <v>No</v>
      </c>
      <c r="BN24" s="20" t="e">
        <f ca="1">IF(((BI24-(Data!$O$47/2))/8)&gt;0,((BI24-(Data!$O$47/2))/8),0)</f>
        <v>#VALUE!</v>
      </c>
      <c r="BO24" s="20" t="e">
        <f t="shared" ca="1" si="63"/>
        <v>#VALUE!</v>
      </c>
      <c r="BP24" s="3" t="str">
        <f>IF(Data!$D$31="","",IF(AND($C24="",$D24="",$E24="",$G24="",$H24="",$I24=""),"",IF(AND(BK24="Inside",BM24="Yes",BO24&gt;0),"Yes - "&amp;ROUND(BO24,2)&amp;" ft","No")))</f>
        <v/>
      </c>
      <c r="BQ24" s="3" t="str">
        <f ca="1">IF(Data!$O$47/2+2000&lt;BI24,"Beyond",IF(Data!$O$47/2&gt;BI24,"Behind","Inside"))</f>
        <v>Beyond</v>
      </c>
      <c r="BR24" s="20" t="e">
        <f ca="1">(TAN(Data!$AA$12*PI()/180)*BI24)+(Data!$O$47/2)</f>
        <v>#VALUE!</v>
      </c>
      <c r="BS24" s="3" t="e">
        <f t="shared" ca="1" si="64"/>
        <v>#VALUE!</v>
      </c>
      <c r="BT24" s="20" t="e">
        <f t="shared" ca="1" si="65"/>
        <v>#VALUE!</v>
      </c>
      <c r="BU24" s="20" t="e">
        <f t="shared" ca="1" si="66"/>
        <v>#VALUE!</v>
      </c>
      <c r="BV24" s="3" t="str">
        <f>IF(Data!$D$31="","",IF(AND($C24="",$D24="",$E24="",$G24="",$H24="",$I24=""),"",IF(AND(BQ24="Inside",BS24="Yes",BU24&gt;0),"Yes - "&amp;ROUND(BU24,2)&amp;" ft","No")))</f>
        <v/>
      </c>
      <c r="BW24" s="3" t="str">
        <f ca="1">IF(0-Data!$O$47/2&gt;BI24,"Behind",IF(Data!$O$47/2+4000&lt;BI24,"Beyond","Inside"))</f>
        <v>Beyond</v>
      </c>
      <c r="BX24" s="3" t="e">
        <f t="shared" ca="1" si="67"/>
        <v>#VALUE!</v>
      </c>
      <c r="BY24" s="20" t="e">
        <f t="shared" ca="1" si="68"/>
        <v>#VALUE!</v>
      </c>
      <c r="BZ24" s="20" t="e">
        <f t="shared" ca="1" si="69"/>
        <v>#VALUE!</v>
      </c>
      <c r="CA24" s="3" t="str">
        <f>IF(Data!$D$31="","",IF(AND($C24="",$D24="",$E24="",$G24="",$H24="",$I24=""),"",IF(AND(BW24="Inside",BX24="Yes",BZ24&gt;0),"Yes - "&amp;ROUND(BZ24,2)&amp;" ft","No")))</f>
        <v/>
      </c>
      <c r="CB24" s="9"/>
      <c r="CC24" t="str">
        <f t="shared" si="70"/>
        <v>No</v>
      </c>
      <c r="CD24" s="62" t="s">
        <v>530</v>
      </c>
      <c r="CE24" s="63">
        <f t="shared" si="7"/>
        <v>0</v>
      </c>
      <c r="CF24" s="63">
        <f t="shared" si="5"/>
        <v>260330.3</v>
      </c>
      <c r="CG24" s="63">
        <f t="shared" si="6"/>
        <v>800803.59</v>
      </c>
      <c r="CH24" s="63">
        <f t="shared" si="24"/>
        <v>354</v>
      </c>
      <c r="CI24" s="63">
        <f t="shared" si="9"/>
        <v>0</v>
      </c>
      <c r="CJ24" s="63">
        <f t="shared" si="10"/>
        <v>0.45480516874807703</v>
      </c>
      <c r="CK24" s="63">
        <f t="shared" si="11"/>
        <v>1.39860791215351</v>
      </c>
      <c r="CL24" s="63">
        <f t="shared" si="25"/>
        <v>354</v>
      </c>
      <c r="CM24" s="63">
        <f t="shared" si="26"/>
        <v>6.1784655520599303</v>
      </c>
      <c r="CN24" s="63">
        <f t="shared" si="12"/>
        <v>0</v>
      </c>
      <c r="CO24" s="63">
        <f t="shared" si="13"/>
        <v>1.00543891812539</v>
      </c>
      <c r="CP24" s="63">
        <f t="shared" si="14"/>
        <v>0</v>
      </c>
      <c r="CQ24" s="63">
        <f t="shared" si="15"/>
        <v>0.45480516874807703</v>
      </c>
      <c r="CR24" s="63">
        <f t="shared" si="16"/>
        <v>0</v>
      </c>
      <c r="CS24" s="63">
        <f t="shared" si="17"/>
        <v>0.45480516874807703</v>
      </c>
      <c r="CT24" s="63">
        <f t="shared" si="18"/>
        <v>1.39860791215351</v>
      </c>
      <c r="CU24" s="63">
        <f t="shared" si="19"/>
        <v>9.3200582056497208</v>
      </c>
      <c r="CV24" s="63">
        <f t="shared" si="20"/>
        <v>26.058416670000021</v>
      </c>
      <c r="CW24" s="63">
        <f t="shared" si="21"/>
        <v>80.134330559999924</v>
      </c>
      <c r="CX24" s="63">
        <f t="shared" si="22"/>
        <v>260330.30001199999</v>
      </c>
      <c r="CY24" s="63">
        <f t="shared" si="23"/>
        <v>800803.59001599997</v>
      </c>
    </row>
    <row r="25" spans="1:103" x14ac:dyDescent="0.25">
      <c r="A25" s="67">
        <v>15</v>
      </c>
      <c r="B25" s="84"/>
      <c r="C25" s="84"/>
      <c r="D25" s="84"/>
      <c r="E25" s="84"/>
      <c r="F25" s="109" t="str">
        <f t="shared" si="27"/>
        <v/>
      </c>
      <c r="G25" s="81"/>
      <c r="H25" s="81"/>
      <c r="I25" s="85"/>
      <c r="J25" s="77" t="str">
        <f t="shared" si="28"/>
        <v/>
      </c>
      <c r="K25" s="77" t="str">
        <f t="shared" si="29"/>
        <v/>
      </c>
      <c r="L25" s="77" t="str">
        <f t="shared" si="30"/>
        <v/>
      </c>
      <c r="M25" s="79" t="str">
        <f t="shared" si="31"/>
        <v/>
      </c>
      <c r="N25" s="79" t="str">
        <f t="shared" si="32"/>
        <v/>
      </c>
      <c r="O25" s="79" t="str">
        <f t="shared" si="33"/>
        <v/>
      </c>
      <c r="P25" s="77" t="str">
        <f t="shared" si="34"/>
        <v/>
      </c>
      <c r="Q25" s="77" t="str">
        <f t="shared" si="35"/>
        <v/>
      </c>
      <c r="R25" s="77" t="str">
        <f t="shared" si="36"/>
        <v/>
      </c>
      <c r="S25" s="8"/>
      <c r="T25" s="74">
        <f t="shared" si="37"/>
        <v>-80.134330559999924</v>
      </c>
      <c r="U25" s="66">
        <f t="shared" si="38"/>
        <v>26.058416670000021</v>
      </c>
      <c r="V25" s="66">
        <f t="shared" si="39"/>
        <v>1.524</v>
      </c>
      <c r="W25" s="3" t="str">
        <f t="shared" si="40"/>
        <v/>
      </c>
      <c r="X25" s="3" t="str">
        <f t="shared" si="41"/>
        <v/>
      </c>
      <c r="Y25" s="3" t="str">
        <f ca="1">IF(Data!$O$47/2+4000&lt;W25,"Beyond",IF(Data!$O$47/2&gt;W25,"Behind","Inside"))</f>
        <v>Beyond</v>
      </c>
      <c r="Z25" s="20" t="e">
        <f ca="1">IF((TAN(Data!$AA$5*PI()/180)*W25)+(Data!$O$47/2)&lt;Data!$O$47/2,Data!$O$47/2,IF((TAN(Data!$AA$5*PI()/180)*W25)+(Data!$O$47/2)&gt;250,250,(TAN(Data!$AA$5*PI()/180)*W25)+(Data!$O$47/2)))</f>
        <v>#VALUE!</v>
      </c>
      <c r="AA25" s="3" t="str">
        <f t="shared" ca="1" si="42"/>
        <v>No</v>
      </c>
      <c r="AB25" s="20" t="e">
        <f ca="1">IF(((W25-(Data!$O$47/2))/8)&gt;0,((W25-(Data!$O$47/2))/8),0)</f>
        <v>#VALUE!</v>
      </c>
      <c r="AC25" s="20" t="e">
        <f t="shared" ca="1" si="43"/>
        <v>#VALUE!</v>
      </c>
      <c r="AD25" s="3" t="str">
        <f>IF(Data!$D$29="","",IF(AND($C25="",$D25="",$E25="",$G25="",$H25="",$I25=""),"",IF(AND(Y25="Inside",AA25="Yes",AC25&gt;0),"Yes - "&amp;ROUND(AC25,2)&amp;" ft","No")))</f>
        <v/>
      </c>
      <c r="AE25" s="3" t="str">
        <f ca="1">IF(Data!$O$47/2+2000&lt;W25,"Beyond",IF(Data!$O$47/2&gt;W25,"Behind","Inside"))</f>
        <v>Beyond</v>
      </c>
      <c r="AF25" s="20" t="e">
        <f ca="1">(TAN(Data!$AA$12*PI()/180)*W25)+(Data!$O$47/2)</f>
        <v>#VALUE!</v>
      </c>
      <c r="AG25" s="3" t="e">
        <f t="shared" ca="1" si="44"/>
        <v>#VALUE!</v>
      </c>
      <c r="AH25" s="20" t="e">
        <f t="shared" ca="1" si="45"/>
        <v>#VALUE!</v>
      </c>
      <c r="AI25" s="20" t="e">
        <f t="shared" ca="1" si="46"/>
        <v>#VALUE!</v>
      </c>
      <c r="AJ25" s="3" t="str">
        <f>IF(Data!$D$29="","",IF(AND($C25="",$D25="",$E25="",$G25="",$H25="",$I25=""),"",IF(AND(AE25="Inside",AG25="Yes",AI25&gt;0),"Yes - "&amp;ROUND(AI25,2)&amp;" ft","No")))</f>
        <v/>
      </c>
      <c r="AK25" s="3" t="str">
        <f ca="1">IF(0-Data!$O$47/2&gt;W25,"Behind",IF(Data!$O$47/2+4000&lt;W25,"Beyond","Inside"))</f>
        <v>Beyond</v>
      </c>
      <c r="AL25" s="3" t="e">
        <f t="shared" ca="1" si="47"/>
        <v>#VALUE!</v>
      </c>
      <c r="AM25" s="20" t="e">
        <f t="shared" ca="1" si="48"/>
        <v>#VALUE!</v>
      </c>
      <c r="AN25" s="20" t="e">
        <f t="shared" ca="1" si="49"/>
        <v>#VALUE!</v>
      </c>
      <c r="AO25" s="3" t="str">
        <f>IF(Data!$D$29="","",IF(AND($C25="",$D25="",$E25="",$G25="",$H25="",$I25=""),"",IF(AND(AK25="Inside",AL25="Yes",AN25&gt;0),"Yes - "&amp;ROUND(AN25,2)&amp;" ft","No")))</f>
        <v/>
      </c>
      <c r="AP25" s="72" t="str">
        <f t="shared" si="50"/>
        <v/>
      </c>
      <c r="AQ25" s="72" t="str">
        <f t="shared" si="51"/>
        <v/>
      </c>
      <c r="AR25" s="72" t="str">
        <f ca="1">IF(Data!$O$47/2+4000&lt;AP25,"Beyond",IF(Data!$O$47/2&gt;AP25,"Behind","Inside"))</f>
        <v>Beyond</v>
      </c>
      <c r="AS25" s="72" t="e">
        <f ca="1">IF((TAN(Data!$AA$5*PI()/180)*AP25)+(Data!$O$47/2)&lt;Data!$O$47/2,Data!$O$47/2,IF((TAN(Data!$AA$5*PI()/180)*AP25)+(Data!$O$47/2)&gt;250,250,(TAN(Data!$AA$5*PI()/180)*AP25)+(Data!$O$47/2)))</f>
        <v>#VALUE!</v>
      </c>
      <c r="AT25" s="72" t="str">
        <f t="shared" ca="1" si="52"/>
        <v>No</v>
      </c>
      <c r="AU25" s="72" t="e">
        <f ca="1">IF(((AP25-(Data!$O$47/2))/8)&gt;0,((AP25-(Data!$O$47/2))/8),0)</f>
        <v>#VALUE!</v>
      </c>
      <c r="AV25" s="72" t="e">
        <f t="shared" ca="1" si="53"/>
        <v>#VALUE!</v>
      </c>
      <c r="AW25" s="72" t="str">
        <f>IF(Data!$D$30="","",IF(AND($C25="",$D25="",$E25="",$G25="",$H25="",$I25=""),"",IF(AND(AR25="Inside",AT25="Yes",AV25&gt;0),"Yes - "&amp;ROUND(AV25,2)&amp;" ft","No")))</f>
        <v/>
      </c>
      <c r="AX25" s="72" t="str">
        <f ca="1">IF(Data!$O$47/2+2000&lt;AP25,"Beyond",IF(Data!$O$47/2&gt;AP25,"Behind","Inside"))</f>
        <v>Beyond</v>
      </c>
      <c r="AY25" s="72" t="e">
        <f ca="1">(TAN(Data!$AA$12*PI()/180)*AP25)+(Data!$O$47/2)</f>
        <v>#VALUE!</v>
      </c>
      <c r="AZ25" s="72" t="e">
        <f t="shared" ca="1" si="54"/>
        <v>#VALUE!</v>
      </c>
      <c r="BA25" s="72" t="e">
        <f t="shared" ca="1" si="55"/>
        <v>#VALUE!</v>
      </c>
      <c r="BB25" s="72" t="e">
        <f t="shared" ca="1" si="56"/>
        <v>#VALUE!</v>
      </c>
      <c r="BC25" s="72" t="str">
        <f>IF(Data!$D$30="","",IF(AND($C25="",$D25="",$E25="",$G25="",$H25="",$I25=""),"",IF(AND(AX25="Inside",AZ25="Yes",BB25&gt;0),"Yes - "&amp;ROUND(BB25,2)&amp;" ft","No")))</f>
        <v/>
      </c>
      <c r="BD25" s="72" t="str">
        <f ca="1">IF(0-Data!$O$47/2&gt;AP25,"Behind",IF(Data!$O$47/2+4000&lt;AP25,"Beyond","Inside"))</f>
        <v>Beyond</v>
      </c>
      <c r="BE25" s="72" t="e">
        <f t="shared" ca="1" si="57"/>
        <v>#VALUE!</v>
      </c>
      <c r="BF25" s="72" t="e">
        <f t="shared" ca="1" si="58"/>
        <v>#VALUE!</v>
      </c>
      <c r="BG25" s="72" t="e">
        <f t="shared" ca="1" si="59"/>
        <v>#VALUE!</v>
      </c>
      <c r="BH25" s="72" t="str">
        <f>IF(Data!$D$30="","",IF(AND($C25="",$D25="",$E25="",$G25="",$H25="",$I25=""),"",IF(AND(BD25="Inside",BE25="Yes",BG25&gt;0),"Yes - "&amp;ROUND(BG25,2)&amp;" ft","No")))</f>
        <v/>
      </c>
      <c r="BI25" s="3" t="str">
        <f t="shared" si="60"/>
        <v/>
      </c>
      <c r="BJ25" s="3" t="str">
        <f t="shared" si="61"/>
        <v/>
      </c>
      <c r="BK25" s="3" t="str">
        <f ca="1">IF(Data!$O$47/2+4000&lt;BI25,"Beyond",IF(Data!$O$47/2&gt;BI25,"Behind","Inside"))</f>
        <v>Beyond</v>
      </c>
      <c r="BL25" s="20" t="e">
        <f ca="1">IF((TAN(Data!$AA$5*PI()/180)*BI25)+(Data!$O$47/2)&lt;Data!$O$47/2,Data!$O$47/2,IF((TAN(Data!$AA$5*PI()/180)*BI25)+(Data!$O$47/2)&gt;250,250,(TAN(Data!$AA$5*PI()/180)*BI25)+(Data!$O$47/2)))</f>
        <v>#VALUE!</v>
      </c>
      <c r="BM25" s="3" t="str">
        <f t="shared" ca="1" si="62"/>
        <v>No</v>
      </c>
      <c r="BN25" s="20" t="e">
        <f ca="1">IF(((BI25-(Data!$O$47/2))/8)&gt;0,((BI25-(Data!$O$47/2))/8),0)</f>
        <v>#VALUE!</v>
      </c>
      <c r="BO25" s="20" t="e">
        <f t="shared" ca="1" si="63"/>
        <v>#VALUE!</v>
      </c>
      <c r="BP25" s="3" t="str">
        <f>IF(Data!$D$31="","",IF(AND($C25="",$D25="",$E25="",$G25="",$H25="",$I25=""),"",IF(AND(BK25="Inside",BM25="Yes",BO25&gt;0),"Yes - "&amp;ROUND(BO25,2)&amp;" ft","No")))</f>
        <v/>
      </c>
      <c r="BQ25" s="3" t="str">
        <f ca="1">IF(Data!$O$47/2+2000&lt;BI25,"Beyond",IF(Data!$O$47/2&gt;BI25,"Behind","Inside"))</f>
        <v>Beyond</v>
      </c>
      <c r="BR25" s="20" t="e">
        <f ca="1">(TAN(Data!$AA$12*PI()/180)*BI25)+(Data!$O$47/2)</f>
        <v>#VALUE!</v>
      </c>
      <c r="BS25" s="3" t="e">
        <f t="shared" ca="1" si="64"/>
        <v>#VALUE!</v>
      </c>
      <c r="BT25" s="20" t="e">
        <f t="shared" ca="1" si="65"/>
        <v>#VALUE!</v>
      </c>
      <c r="BU25" s="20" t="e">
        <f t="shared" ca="1" si="66"/>
        <v>#VALUE!</v>
      </c>
      <c r="BV25" s="3" t="str">
        <f>IF(Data!$D$31="","",IF(AND($C25="",$D25="",$E25="",$G25="",$H25="",$I25=""),"",IF(AND(BQ25="Inside",BS25="Yes",BU25&gt;0),"Yes - "&amp;ROUND(BU25,2)&amp;" ft","No")))</f>
        <v/>
      </c>
      <c r="BW25" s="3" t="str">
        <f ca="1">IF(0-Data!$O$47/2&gt;BI25,"Behind",IF(Data!$O$47/2+4000&lt;BI25,"Beyond","Inside"))</f>
        <v>Beyond</v>
      </c>
      <c r="BX25" s="3" t="e">
        <f t="shared" ca="1" si="67"/>
        <v>#VALUE!</v>
      </c>
      <c r="BY25" s="20" t="e">
        <f t="shared" ca="1" si="68"/>
        <v>#VALUE!</v>
      </c>
      <c r="BZ25" s="20" t="e">
        <f t="shared" ca="1" si="69"/>
        <v>#VALUE!</v>
      </c>
      <c r="CA25" s="3" t="str">
        <f>IF(Data!$D$31="","",IF(AND($C25="",$D25="",$E25="",$G25="",$H25="",$I25=""),"",IF(AND(BW25="Inside",BX25="Yes",BZ25&gt;0),"Yes - "&amp;ROUND(BZ25,2)&amp;" ft","No")))</f>
        <v/>
      </c>
      <c r="CB25" s="9"/>
      <c r="CC25" t="str">
        <f t="shared" si="70"/>
        <v>No</v>
      </c>
      <c r="CD25" s="62" t="s">
        <v>531</v>
      </c>
      <c r="CE25" s="63">
        <f t="shared" si="7"/>
        <v>0</v>
      </c>
      <c r="CF25" s="63">
        <f t="shared" si="5"/>
        <v>260330.3</v>
      </c>
      <c r="CG25" s="63">
        <f t="shared" si="6"/>
        <v>800803.59</v>
      </c>
      <c r="CH25" s="63">
        <f t="shared" si="24"/>
        <v>354</v>
      </c>
      <c r="CI25" s="63">
        <f t="shared" si="9"/>
        <v>0</v>
      </c>
      <c r="CJ25" s="63">
        <f t="shared" si="10"/>
        <v>0.45480516874807703</v>
      </c>
      <c r="CK25" s="63">
        <f t="shared" si="11"/>
        <v>1.39860791215351</v>
      </c>
      <c r="CL25" s="63">
        <f t="shared" si="25"/>
        <v>354</v>
      </c>
      <c r="CM25" s="63">
        <f t="shared" si="26"/>
        <v>6.1784655520599303</v>
      </c>
      <c r="CN25" s="63">
        <f t="shared" si="12"/>
        <v>0</v>
      </c>
      <c r="CO25" s="63">
        <f t="shared" si="13"/>
        <v>1.00543891812539</v>
      </c>
      <c r="CP25" s="63">
        <f t="shared" si="14"/>
        <v>0</v>
      </c>
      <c r="CQ25" s="63">
        <f t="shared" si="15"/>
        <v>0.45480516874807703</v>
      </c>
      <c r="CR25" s="63">
        <f t="shared" si="16"/>
        <v>0</v>
      </c>
      <c r="CS25" s="63">
        <f t="shared" si="17"/>
        <v>0.45480516874807703</v>
      </c>
      <c r="CT25" s="63">
        <f t="shared" si="18"/>
        <v>1.39860791215351</v>
      </c>
      <c r="CU25" s="63">
        <f t="shared" si="19"/>
        <v>9.3200582056497208</v>
      </c>
      <c r="CV25" s="63">
        <f t="shared" si="20"/>
        <v>26.058416670000021</v>
      </c>
      <c r="CW25" s="63">
        <f t="shared" si="21"/>
        <v>80.134330559999924</v>
      </c>
      <c r="CX25" s="63">
        <f t="shared" si="22"/>
        <v>260330.30001199999</v>
      </c>
      <c r="CY25" s="63">
        <f t="shared" si="23"/>
        <v>800803.59001599997</v>
      </c>
    </row>
    <row r="26" spans="1:103" x14ac:dyDescent="0.25">
      <c r="A26" s="67">
        <v>16</v>
      </c>
      <c r="B26" s="84"/>
      <c r="C26" s="84"/>
      <c r="D26" s="84"/>
      <c r="E26" s="84"/>
      <c r="F26" s="109" t="str">
        <f t="shared" si="27"/>
        <v/>
      </c>
      <c r="G26" s="81"/>
      <c r="H26" s="81"/>
      <c r="I26" s="85"/>
      <c r="J26" s="77" t="str">
        <f t="shared" si="28"/>
        <v/>
      </c>
      <c r="K26" s="77" t="str">
        <f t="shared" si="29"/>
        <v/>
      </c>
      <c r="L26" s="77" t="str">
        <f t="shared" si="30"/>
        <v/>
      </c>
      <c r="M26" s="79" t="str">
        <f t="shared" si="31"/>
        <v/>
      </c>
      <c r="N26" s="79" t="str">
        <f t="shared" si="32"/>
        <v/>
      </c>
      <c r="O26" s="79" t="str">
        <f t="shared" si="33"/>
        <v/>
      </c>
      <c r="P26" s="77" t="str">
        <f t="shared" si="34"/>
        <v/>
      </c>
      <c r="Q26" s="77" t="str">
        <f t="shared" si="35"/>
        <v/>
      </c>
      <c r="R26" s="77" t="str">
        <f t="shared" si="36"/>
        <v/>
      </c>
      <c r="S26" s="8"/>
      <c r="T26" s="74">
        <f t="shared" si="37"/>
        <v>-80.134330559999924</v>
      </c>
      <c r="U26" s="66">
        <f t="shared" si="38"/>
        <v>26.058416670000021</v>
      </c>
      <c r="V26" s="66">
        <f t="shared" si="39"/>
        <v>1.524</v>
      </c>
      <c r="W26" s="3" t="str">
        <f t="shared" si="40"/>
        <v/>
      </c>
      <c r="X26" s="3" t="str">
        <f t="shared" si="41"/>
        <v/>
      </c>
      <c r="Y26" s="3" t="str">
        <f ca="1">IF(Data!$O$47/2+4000&lt;W26,"Beyond",IF(Data!$O$47/2&gt;W26,"Behind","Inside"))</f>
        <v>Beyond</v>
      </c>
      <c r="Z26" s="20" t="e">
        <f ca="1">IF((TAN(Data!$AA$5*PI()/180)*W26)+(Data!$O$47/2)&lt;Data!$O$47/2,Data!$O$47/2,IF((TAN(Data!$AA$5*PI()/180)*W26)+(Data!$O$47/2)&gt;250,250,(TAN(Data!$AA$5*PI()/180)*W26)+(Data!$O$47/2)))</f>
        <v>#VALUE!</v>
      </c>
      <c r="AA26" s="3" t="str">
        <f t="shared" ca="1" si="42"/>
        <v>No</v>
      </c>
      <c r="AB26" s="20" t="e">
        <f ca="1">IF(((W26-(Data!$O$47/2))/8)&gt;0,((W26-(Data!$O$47/2))/8),0)</f>
        <v>#VALUE!</v>
      </c>
      <c r="AC26" s="20" t="e">
        <f t="shared" ca="1" si="43"/>
        <v>#VALUE!</v>
      </c>
      <c r="AD26" s="3" t="str">
        <f>IF(Data!$D$29="","",IF(AND($C26="",$D26="",$E26="",$G26="",$H26="",$I26=""),"",IF(AND(Y26="Inside",AA26="Yes",AC26&gt;0),"Yes - "&amp;ROUND(AC26,2)&amp;" ft","No")))</f>
        <v/>
      </c>
      <c r="AE26" s="3" t="str">
        <f ca="1">IF(Data!$O$47/2+2000&lt;W26,"Beyond",IF(Data!$O$47/2&gt;W26,"Behind","Inside"))</f>
        <v>Beyond</v>
      </c>
      <c r="AF26" s="20" t="e">
        <f ca="1">(TAN(Data!$AA$12*PI()/180)*W26)+(Data!$O$47/2)</f>
        <v>#VALUE!</v>
      </c>
      <c r="AG26" s="3" t="e">
        <f t="shared" ca="1" si="44"/>
        <v>#VALUE!</v>
      </c>
      <c r="AH26" s="20" t="e">
        <f t="shared" ca="1" si="45"/>
        <v>#VALUE!</v>
      </c>
      <c r="AI26" s="20" t="e">
        <f t="shared" ca="1" si="46"/>
        <v>#VALUE!</v>
      </c>
      <c r="AJ26" s="3" t="str">
        <f>IF(Data!$D$29="","",IF(AND($C26="",$D26="",$E26="",$G26="",$H26="",$I26=""),"",IF(AND(AE26="Inside",AG26="Yes",AI26&gt;0),"Yes - "&amp;ROUND(AI26,2)&amp;" ft","No")))</f>
        <v/>
      </c>
      <c r="AK26" s="3" t="str">
        <f ca="1">IF(0-Data!$O$47/2&gt;W26,"Behind",IF(Data!$O$47/2+4000&lt;W26,"Beyond","Inside"))</f>
        <v>Beyond</v>
      </c>
      <c r="AL26" s="3" t="e">
        <f t="shared" ca="1" si="47"/>
        <v>#VALUE!</v>
      </c>
      <c r="AM26" s="20" t="e">
        <f t="shared" ca="1" si="48"/>
        <v>#VALUE!</v>
      </c>
      <c r="AN26" s="20" t="e">
        <f t="shared" ca="1" si="49"/>
        <v>#VALUE!</v>
      </c>
      <c r="AO26" s="3" t="str">
        <f>IF(Data!$D$29="","",IF(AND($C26="",$D26="",$E26="",$G26="",$H26="",$I26=""),"",IF(AND(AK26="Inside",AL26="Yes",AN26&gt;0),"Yes - "&amp;ROUND(AN26,2)&amp;" ft","No")))</f>
        <v/>
      </c>
      <c r="AP26" s="72" t="str">
        <f t="shared" si="50"/>
        <v/>
      </c>
      <c r="AQ26" s="72" t="str">
        <f t="shared" si="51"/>
        <v/>
      </c>
      <c r="AR26" s="72" t="str">
        <f ca="1">IF(Data!$O$47/2+4000&lt;AP26,"Beyond",IF(Data!$O$47/2&gt;AP26,"Behind","Inside"))</f>
        <v>Beyond</v>
      </c>
      <c r="AS26" s="72" t="e">
        <f ca="1">IF((TAN(Data!$AA$5*PI()/180)*AP26)+(Data!$O$47/2)&lt;Data!$O$47/2,Data!$O$47/2,IF((TAN(Data!$AA$5*PI()/180)*AP26)+(Data!$O$47/2)&gt;250,250,(TAN(Data!$AA$5*PI()/180)*AP26)+(Data!$O$47/2)))</f>
        <v>#VALUE!</v>
      </c>
      <c r="AT26" s="72" t="str">
        <f t="shared" ca="1" si="52"/>
        <v>No</v>
      </c>
      <c r="AU26" s="72" t="e">
        <f ca="1">IF(((AP26-(Data!$O$47/2))/8)&gt;0,((AP26-(Data!$O$47/2))/8),0)</f>
        <v>#VALUE!</v>
      </c>
      <c r="AV26" s="72" t="e">
        <f t="shared" ca="1" si="53"/>
        <v>#VALUE!</v>
      </c>
      <c r="AW26" s="72" t="str">
        <f>IF(Data!$D$30="","",IF(AND($C26="",$D26="",$E26="",$G26="",$H26="",$I26=""),"",IF(AND(AR26="Inside",AT26="Yes",AV26&gt;0),"Yes - "&amp;ROUND(AV26,2)&amp;" ft","No")))</f>
        <v/>
      </c>
      <c r="AX26" s="72" t="str">
        <f ca="1">IF(Data!$O$47/2+2000&lt;AP26,"Beyond",IF(Data!$O$47/2&gt;AP26,"Behind","Inside"))</f>
        <v>Beyond</v>
      </c>
      <c r="AY26" s="72" t="e">
        <f ca="1">(TAN(Data!$AA$12*PI()/180)*AP26)+(Data!$O$47/2)</f>
        <v>#VALUE!</v>
      </c>
      <c r="AZ26" s="72" t="e">
        <f t="shared" ca="1" si="54"/>
        <v>#VALUE!</v>
      </c>
      <c r="BA26" s="72" t="e">
        <f t="shared" ca="1" si="55"/>
        <v>#VALUE!</v>
      </c>
      <c r="BB26" s="72" t="e">
        <f t="shared" ca="1" si="56"/>
        <v>#VALUE!</v>
      </c>
      <c r="BC26" s="72" t="str">
        <f>IF(Data!$D$30="","",IF(AND($C26="",$D26="",$E26="",$G26="",$H26="",$I26=""),"",IF(AND(AX26="Inside",AZ26="Yes",BB26&gt;0),"Yes - "&amp;ROUND(BB26,2)&amp;" ft","No")))</f>
        <v/>
      </c>
      <c r="BD26" s="72" t="str">
        <f ca="1">IF(0-Data!$O$47/2&gt;AP26,"Behind",IF(Data!$O$47/2+4000&lt;AP26,"Beyond","Inside"))</f>
        <v>Beyond</v>
      </c>
      <c r="BE26" s="72" t="e">
        <f t="shared" ca="1" si="57"/>
        <v>#VALUE!</v>
      </c>
      <c r="BF26" s="72" t="e">
        <f t="shared" ca="1" si="58"/>
        <v>#VALUE!</v>
      </c>
      <c r="BG26" s="72" t="e">
        <f t="shared" ca="1" si="59"/>
        <v>#VALUE!</v>
      </c>
      <c r="BH26" s="72" t="str">
        <f>IF(Data!$D$30="","",IF(AND($C26="",$D26="",$E26="",$G26="",$H26="",$I26=""),"",IF(AND(BD26="Inside",BE26="Yes",BG26&gt;0),"Yes - "&amp;ROUND(BG26,2)&amp;" ft","No")))</f>
        <v/>
      </c>
      <c r="BI26" s="3" t="str">
        <f t="shared" si="60"/>
        <v/>
      </c>
      <c r="BJ26" s="3" t="str">
        <f t="shared" si="61"/>
        <v/>
      </c>
      <c r="BK26" s="3" t="str">
        <f ca="1">IF(Data!$O$47/2+4000&lt;BI26,"Beyond",IF(Data!$O$47/2&gt;BI26,"Behind","Inside"))</f>
        <v>Beyond</v>
      </c>
      <c r="BL26" s="20" t="e">
        <f ca="1">IF((TAN(Data!$AA$5*PI()/180)*BI26)+(Data!$O$47/2)&lt;Data!$O$47/2,Data!$O$47/2,IF((TAN(Data!$AA$5*PI()/180)*BI26)+(Data!$O$47/2)&gt;250,250,(TAN(Data!$AA$5*PI()/180)*BI26)+(Data!$O$47/2)))</f>
        <v>#VALUE!</v>
      </c>
      <c r="BM26" s="3" t="str">
        <f t="shared" ca="1" si="62"/>
        <v>No</v>
      </c>
      <c r="BN26" s="20" t="e">
        <f ca="1">IF(((BI26-(Data!$O$47/2))/8)&gt;0,((BI26-(Data!$O$47/2))/8),0)</f>
        <v>#VALUE!</v>
      </c>
      <c r="BO26" s="20" t="e">
        <f t="shared" ca="1" si="63"/>
        <v>#VALUE!</v>
      </c>
      <c r="BP26" s="3" t="str">
        <f>IF(Data!$D$31="","",IF(AND($C26="",$D26="",$E26="",$G26="",$H26="",$I26=""),"",IF(AND(BK26="Inside",BM26="Yes",BO26&gt;0),"Yes - "&amp;ROUND(BO26,2)&amp;" ft","No")))</f>
        <v/>
      </c>
      <c r="BQ26" s="3" t="str">
        <f ca="1">IF(Data!$O$47/2+2000&lt;BI26,"Beyond",IF(Data!$O$47/2&gt;BI26,"Behind","Inside"))</f>
        <v>Beyond</v>
      </c>
      <c r="BR26" s="20" t="e">
        <f ca="1">(TAN(Data!$AA$12*PI()/180)*BI26)+(Data!$O$47/2)</f>
        <v>#VALUE!</v>
      </c>
      <c r="BS26" s="3" t="e">
        <f t="shared" ca="1" si="64"/>
        <v>#VALUE!</v>
      </c>
      <c r="BT26" s="20" t="e">
        <f t="shared" ca="1" si="65"/>
        <v>#VALUE!</v>
      </c>
      <c r="BU26" s="20" t="e">
        <f t="shared" ca="1" si="66"/>
        <v>#VALUE!</v>
      </c>
      <c r="BV26" s="3" t="str">
        <f>IF(Data!$D$31="","",IF(AND($C26="",$D26="",$E26="",$G26="",$H26="",$I26=""),"",IF(AND(BQ26="Inside",BS26="Yes",BU26&gt;0),"Yes - "&amp;ROUND(BU26,2)&amp;" ft","No")))</f>
        <v/>
      </c>
      <c r="BW26" s="3" t="str">
        <f ca="1">IF(0-Data!$O$47/2&gt;BI26,"Behind",IF(Data!$O$47/2+4000&lt;BI26,"Beyond","Inside"))</f>
        <v>Beyond</v>
      </c>
      <c r="BX26" s="3" t="e">
        <f t="shared" ca="1" si="67"/>
        <v>#VALUE!</v>
      </c>
      <c r="BY26" s="20" t="e">
        <f t="shared" ca="1" si="68"/>
        <v>#VALUE!</v>
      </c>
      <c r="BZ26" s="20" t="e">
        <f t="shared" ca="1" si="69"/>
        <v>#VALUE!</v>
      </c>
      <c r="CA26" s="3" t="str">
        <f>IF(Data!$D$31="","",IF(AND($C26="",$D26="",$E26="",$G26="",$H26="",$I26=""),"",IF(AND(BW26="Inside",BX26="Yes",BZ26&gt;0),"Yes - "&amp;ROUND(BZ26,2)&amp;" ft","No")))</f>
        <v/>
      </c>
      <c r="CB26" s="9"/>
      <c r="CC26" t="str">
        <f t="shared" si="70"/>
        <v>No</v>
      </c>
      <c r="CD26" s="62" t="s">
        <v>532</v>
      </c>
      <c r="CE26" s="63">
        <f t="shared" si="7"/>
        <v>0</v>
      </c>
      <c r="CF26" s="63">
        <f t="shared" si="5"/>
        <v>260330.3</v>
      </c>
      <c r="CG26" s="63">
        <f t="shared" si="6"/>
        <v>800803.59</v>
      </c>
      <c r="CH26" s="63">
        <f t="shared" si="24"/>
        <v>354</v>
      </c>
      <c r="CI26" s="63">
        <f t="shared" si="9"/>
        <v>0</v>
      </c>
      <c r="CJ26" s="63">
        <f t="shared" si="10"/>
        <v>0.45480516874807703</v>
      </c>
      <c r="CK26" s="63">
        <f t="shared" si="11"/>
        <v>1.39860791215351</v>
      </c>
      <c r="CL26" s="63">
        <f t="shared" si="25"/>
        <v>354</v>
      </c>
      <c r="CM26" s="63">
        <f t="shared" si="26"/>
        <v>6.1784655520599303</v>
      </c>
      <c r="CN26" s="63">
        <f t="shared" si="12"/>
        <v>0</v>
      </c>
      <c r="CO26" s="63">
        <f t="shared" si="13"/>
        <v>1.00543891812539</v>
      </c>
      <c r="CP26" s="63">
        <f t="shared" si="14"/>
        <v>0</v>
      </c>
      <c r="CQ26" s="63">
        <f t="shared" si="15"/>
        <v>0.45480516874807703</v>
      </c>
      <c r="CR26" s="63">
        <f t="shared" si="16"/>
        <v>0</v>
      </c>
      <c r="CS26" s="63">
        <f t="shared" si="17"/>
        <v>0.45480516874807703</v>
      </c>
      <c r="CT26" s="63">
        <f t="shared" si="18"/>
        <v>1.39860791215351</v>
      </c>
      <c r="CU26" s="63">
        <f t="shared" si="19"/>
        <v>9.3200582056497208</v>
      </c>
      <c r="CV26" s="63">
        <f t="shared" si="20"/>
        <v>26.058416670000021</v>
      </c>
      <c r="CW26" s="63">
        <f t="shared" si="21"/>
        <v>80.134330559999924</v>
      </c>
      <c r="CX26" s="63">
        <f t="shared" si="22"/>
        <v>260330.30001199999</v>
      </c>
      <c r="CY26" s="63">
        <f t="shared" si="23"/>
        <v>800803.59001599997</v>
      </c>
    </row>
    <row r="27" spans="1:103" x14ac:dyDescent="0.25">
      <c r="A27" s="67">
        <v>17</v>
      </c>
      <c r="B27" s="84"/>
      <c r="C27" s="84"/>
      <c r="D27" s="84"/>
      <c r="E27" s="84"/>
      <c r="F27" s="109" t="str">
        <f t="shared" si="27"/>
        <v/>
      </c>
      <c r="G27" s="81"/>
      <c r="H27" s="81"/>
      <c r="I27" s="85"/>
      <c r="J27" s="77" t="str">
        <f t="shared" si="28"/>
        <v/>
      </c>
      <c r="K27" s="77" t="str">
        <f t="shared" si="29"/>
        <v/>
      </c>
      <c r="L27" s="77" t="str">
        <f t="shared" si="30"/>
        <v/>
      </c>
      <c r="M27" s="79" t="str">
        <f t="shared" si="31"/>
        <v/>
      </c>
      <c r="N27" s="79" t="str">
        <f t="shared" si="32"/>
        <v/>
      </c>
      <c r="O27" s="79" t="str">
        <f t="shared" si="33"/>
        <v/>
      </c>
      <c r="P27" s="77" t="str">
        <f t="shared" si="34"/>
        <v/>
      </c>
      <c r="Q27" s="77" t="str">
        <f t="shared" si="35"/>
        <v/>
      </c>
      <c r="R27" s="77" t="str">
        <f t="shared" si="36"/>
        <v/>
      </c>
      <c r="S27" s="8"/>
      <c r="T27" s="74">
        <f t="shared" si="37"/>
        <v>-80.134330559999924</v>
      </c>
      <c r="U27" s="66">
        <f t="shared" si="38"/>
        <v>26.058416670000021</v>
      </c>
      <c r="V27" s="66">
        <f t="shared" si="39"/>
        <v>1.524</v>
      </c>
      <c r="W27" s="3" t="str">
        <f t="shared" si="40"/>
        <v/>
      </c>
      <c r="X27" s="3" t="str">
        <f t="shared" si="41"/>
        <v/>
      </c>
      <c r="Y27" s="3" t="str">
        <f ca="1">IF(Data!$O$47/2+4000&lt;W27,"Beyond",IF(Data!$O$47/2&gt;W27,"Behind","Inside"))</f>
        <v>Beyond</v>
      </c>
      <c r="Z27" s="20" t="e">
        <f ca="1">IF((TAN(Data!$AA$5*PI()/180)*W27)+(Data!$O$47/2)&lt;Data!$O$47/2,Data!$O$47/2,IF((TAN(Data!$AA$5*PI()/180)*W27)+(Data!$O$47/2)&gt;250,250,(TAN(Data!$AA$5*PI()/180)*W27)+(Data!$O$47/2)))</f>
        <v>#VALUE!</v>
      </c>
      <c r="AA27" s="3" t="str">
        <f t="shared" ca="1" si="42"/>
        <v>No</v>
      </c>
      <c r="AB27" s="20" t="e">
        <f ca="1">IF(((W27-(Data!$O$47/2))/8)&gt;0,((W27-(Data!$O$47/2))/8),0)</f>
        <v>#VALUE!</v>
      </c>
      <c r="AC27" s="20" t="e">
        <f t="shared" ca="1" si="43"/>
        <v>#VALUE!</v>
      </c>
      <c r="AD27" s="3" t="str">
        <f>IF(Data!$D$29="","",IF(AND($C27="",$D27="",$E27="",$G27="",$H27="",$I27=""),"",IF(AND(Y27="Inside",AA27="Yes",AC27&gt;0),"Yes - "&amp;ROUND(AC27,2)&amp;" ft","No")))</f>
        <v/>
      </c>
      <c r="AE27" s="3" t="str">
        <f ca="1">IF(Data!$O$47/2+2000&lt;W27,"Beyond",IF(Data!$O$47/2&gt;W27,"Behind","Inside"))</f>
        <v>Beyond</v>
      </c>
      <c r="AF27" s="20" t="e">
        <f ca="1">(TAN(Data!$AA$12*PI()/180)*W27)+(Data!$O$47/2)</f>
        <v>#VALUE!</v>
      </c>
      <c r="AG27" s="3" t="e">
        <f t="shared" ca="1" si="44"/>
        <v>#VALUE!</v>
      </c>
      <c r="AH27" s="20" t="e">
        <f t="shared" ca="1" si="45"/>
        <v>#VALUE!</v>
      </c>
      <c r="AI27" s="20" t="e">
        <f t="shared" ca="1" si="46"/>
        <v>#VALUE!</v>
      </c>
      <c r="AJ27" s="3" t="str">
        <f>IF(Data!$D$29="","",IF(AND($C27="",$D27="",$E27="",$G27="",$H27="",$I27=""),"",IF(AND(AE27="Inside",AG27="Yes",AI27&gt;0),"Yes - "&amp;ROUND(AI27,2)&amp;" ft","No")))</f>
        <v/>
      </c>
      <c r="AK27" s="3" t="str">
        <f ca="1">IF(0-Data!$O$47/2&gt;W27,"Behind",IF(Data!$O$47/2+4000&lt;W27,"Beyond","Inside"))</f>
        <v>Beyond</v>
      </c>
      <c r="AL27" s="3" t="e">
        <f t="shared" ca="1" si="47"/>
        <v>#VALUE!</v>
      </c>
      <c r="AM27" s="20" t="e">
        <f t="shared" ca="1" si="48"/>
        <v>#VALUE!</v>
      </c>
      <c r="AN27" s="20" t="e">
        <f t="shared" ca="1" si="49"/>
        <v>#VALUE!</v>
      </c>
      <c r="AO27" s="3" t="str">
        <f>IF(Data!$D$29="","",IF(AND($C27="",$D27="",$E27="",$G27="",$H27="",$I27=""),"",IF(AND(AK27="Inside",AL27="Yes",AN27&gt;0),"Yes - "&amp;ROUND(AN27,2)&amp;" ft","No")))</f>
        <v/>
      </c>
      <c r="AP27" s="72" t="str">
        <f t="shared" si="50"/>
        <v/>
      </c>
      <c r="AQ27" s="72" t="str">
        <f t="shared" si="51"/>
        <v/>
      </c>
      <c r="AR27" s="72" t="str">
        <f ca="1">IF(Data!$O$47/2+4000&lt;AP27,"Beyond",IF(Data!$O$47/2&gt;AP27,"Behind","Inside"))</f>
        <v>Beyond</v>
      </c>
      <c r="AS27" s="72" t="e">
        <f ca="1">IF((TAN(Data!$AA$5*PI()/180)*AP27)+(Data!$O$47/2)&lt;Data!$O$47/2,Data!$O$47/2,IF((TAN(Data!$AA$5*PI()/180)*AP27)+(Data!$O$47/2)&gt;250,250,(TAN(Data!$AA$5*PI()/180)*AP27)+(Data!$O$47/2)))</f>
        <v>#VALUE!</v>
      </c>
      <c r="AT27" s="72" t="str">
        <f t="shared" ca="1" si="52"/>
        <v>No</v>
      </c>
      <c r="AU27" s="72" t="e">
        <f ca="1">IF(((AP27-(Data!$O$47/2))/8)&gt;0,((AP27-(Data!$O$47/2))/8),0)</f>
        <v>#VALUE!</v>
      </c>
      <c r="AV27" s="72" t="e">
        <f t="shared" ca="1" si="53"/>
        <v>#VALUE!</v>
      </c>
      <c r="AW27" s="72" t="str">
        <f>IF(Data!$D$30="","",IF(AND($C27="",$D27="",$E27="",$G27="",$H27="",$I27=""),"",IF(AND(AR27="Inside",AT27="Yes",AV27&gt;0),"Yes - "&amp;ROUND(AV27,2)&amp;" ft","No")))</f>
        <v/>
      </c>
      <c r="AX27" s="72" t="str">
        <f ca="1">IF(Data!$O$47/2+2000&lt;AP27,"Beyond",IF(Data!$O$47/2&gt;AP27,"Behind","Inside"))</f>
        <v>Beyond</v>
      </c>
      <c r="AY27" s="72" t="e">
        <f ca="1">(TAN(Data!$AA$12*PI()/180)*AP27)+(Data!$O$47/2)</f>
        <v>#VALUE!</v>
      </c>
      <c r="AZ27" s="72" t="e">
        <f t="shared" ca="1" si="54"/>
        <v>#VALUE!</v>
      </c>
      <c r="BA27" s="72" t="e">
        <f t="shared" ca="1" si="55"/>
        <v>#VALUE!</v>
      </c>
      <c r="BB27" s="72" t="e">
        <f t="shared" ca="1" si="56"/>
        <v>#VALUE!</v>
      </c>
      <c r="BC27" s="72" t="str">
        <f>IF(Data!$D$30="","",IF(AND($C27="",$D27="",$E27="",$G27="",$H27="",$I27=""),"",IF(AND(AX27="Inside",AZ27="Yes",BB27&gt;0),"Yes - "&amp;ROUND(BB27,2)&amp;" ft","No")))</f>
        <v/>
      </c>
      <c r="BD27" s="72" t="str">
        <f ca="1">IF(0-Data!$O$47/2&gt;AP27,"Behind",IF(Data!$O$47/2+4000&lt;AP27,"Beyond","Inside"))</f>
        <v>Beyond</v>
      </c>
      <c r="BE27" s="72" t="e">
        <f t="shared" ca="1" si="57"/>
        <v>#VALUE!</v>
      </c>
      <c r="BF27" s="72" t="e">
        <f t="shared" ca="1" si="58"/>
        <v>#VALUE!</v>
      </c>
      <c r="BG27" s="72" t="e">
        <f t="shared" ca="1" si="59"/>
        <v>#VALUE!</v>
      </c>
      <c r="BH27" s="72" t="str">
        <f>IF(Data!$D$30="","",IF(AND($C27="",$D27="",$E27="",$G27="",$H27="",$I27=""),"",IF(AND(BD27="Inside",BE27="Yes",BG27&gt;0),"Yes - "&amp;ROUND(BG27,2)&amp;" ft","No")))</f>
        <v/>
      </c>
      <c r="BI27" s="3" t="str">
        <f t="shared" si="60"/>
        <v/>
      </c>
      <c r="BJ27" s="3" t="str">
        <f t="shared" si="61"/>
        <v/>
      </c>
      <c r="BK27" s="3" t="str">
        <f ca="1">IF(Data!$O$47/2+4000&lt;BI27,"Beyond",IF(Data!$O$47/2&gt;BI27,"Behind","Inside"))</f>
        <v>Beyond</v>
      </c>
      <c r="BL27" s="20" t="e">
        <f ca="1">IF((TAN(Data!$AA$5*PI()/180)*BI27)+(Data!$O$47/2)&lt;Data!$O$47/2,Data!$O$47/2,IF((TAN(Data!$AA$5*PI()/180)*BI27)+(Data!$O$47/2)&gt;250,250,(TAN(Data!$AA$5*PI()/180)*BI27)+(Data!$O$47/2)))</f>
        <v>#VALUE!</v>
      </c>
      <c r="BM27" s="3" t="str">
        <f t="shared" ca="1" si="62"/>
        <v>No</v>
      </c>
      <c r="BN27" s="20" t="e">
        <f ca="1">IF(((BI27-(Data!$O$47/2))/8)&gt;0,((BI27-(Data!$O$47/2))/8),0)</f>
        <v>#VALUE!</v>
      </c>
      <c r="BO27" s="20" t="e">
        <f t="shared" ca="1" si="63"/>
        <v>#VALUE!</v>
      </c>
      <c r="BP27" s="3" t="str">
        <f>IF(Data!$D$31="","",IF(AND($C27="",$D27="",$E27="",$G27="",$H27="",$I27=""),"",IF(AND(BK27="Inside",BM27="Yes",BO27&gt;0),"Yes - "&amp;ROUND(BO27,2)&amp;" ft","No")))</f>
        <v/>
      </c>
      <c r="BQ27" s="3" t="str">
        <f ca="1">IF(Data!$O$47/2+2000&lt;BI27,"Beyond",IF(Data!$O$47/2&gt;BI27,"Behind","Inside"))</f>
        <v>Beyond</v>
      </c>
      <c r="BR27" s="20" t="e">
        <f ca="1">(TAN(Data!$AA$12*PI()/180)*BI27)+(Data!$O$47/2)</f>
        <v>#VALUE!</v>
      </c>
      <c r="BS27" s="3" t="e">
        <f t="shared" ca="1" si="64"/>
        <v>#VALUE!</v>
      </c>
      <c r="BT27" s="20" t="e">
        <f t="shared" ca="1" si="65"/>
        <v>#VALUE!</v>
      </c>
      <c r="BU27" s="20" t="e">
        <f t="shared" ca="1" si="66"/>
        <v>#VALUE!</v>
      </c>
      <c r="BV27" s="3" t="str">
        <f>IF(Data!$D$31="","",IF(AND($C27="",$D27="",$E27="",$G27="",$H27="",$I27=""),"",IF(AND(BQ27="Inside",BS27="Yes",BU27&gt;0),"Yes - "&amp;ROUND(BU27,2)&amp;" ft","No")))</f>
        <v/>
      </c>
      <c r="BW27" s="3" t="str">
        <f ca="1">IF(0-Data!$O$47/2&gt;BI27,"Behind",IF(Data!$O$47/2+4000&lt;BI27,"Beyond","Inside"))</f>
        <v>Beyond</v>
      </c>
      <c r="BX27" s="3" t="e">
        <f t="shared" ca="1" si="67"/>
        <v>#VALUE!</v>
      </c>
      <c r="BY27" s="20" t="e">
        <f t="shared" ca="1" si="68"/>
        <v>#VALUE!</v>
      </c>
      <c r="BZ27" s="20" t="e">
        <f t="shared" ca="1" si="69"/>
        <v>#VALUE!</v>
      </c>
      <c r="CA27" s="3" t="str">
        <f>IF(Data!$D$31="","",IF(AND($C27="",$D27="",$E27="",$G27="",$H27="",$I27=""),"",IF(AND(BW27="Inside",BX27="Yes",BZ27&gt;0),"Yes - "&amp;ROUND(BZ27,2)&amp;" ft","No")))</f>
        <v/>
      </c>
      <c r="CB27" s="9"/>
      <c r="CC27" t="str">
        <f t="shared" si="70"/>
        <v>No</v>
      </c>
      <c r="CD27" s="62" t="s">
        <v>533</v>
      </c>
      <c r="CE27" s="63">
        <f t="shared" si="7"/>
        <v>0</v>
      </c>
      <c r="CF27" s="63">
        <f t="shared" si="5"/>
        <v>260330.3</v>
      </c>
      <c r="CG27" s="63">
        <f t="shared" si="6"/>
        <v>800803.59</v>
      </c>
      <c r="CH27" s="63">
        <f t="shared" si="24"/>
        <v>354</v>
      </c>
      <c r="CI27" s="63">
        <f t="shared" si="9"/>
        <v>0</v>
      </c>
      <c r="CJ27" s="63">
        <f t="shared" si="10"/>
        <v>0.45480516874807703</v>
      </c>
      <c r="CK27" s="63">
        <f t="shared" si="11"/>
        <v>1.39860791215351</v>
      </c>
      <c r="CL27" s="63">
        <f t="shared" si="25"/>
        <v>354</v>
      </c>
      <c r="CM27" s="63">
        <f t="shared" si="26"/>
        <v>6.1784655520599303</v>
      </c>
      <c r="CN27" s="63">
        <f t="shared" si="12"/>
        <v>0</v>
      </c>
      <c r="CO27" s="63">
        <f t="shared" si="13"/>
        <v>1.00543891812539</v>
      </c>
      <c r="CP27" s="63">
        <f t="shared" si="14"/>
        <v>0</v>
      </c>
      <c r="CQ27" s="63">
        <f t="shared" si="15"/>
        <v>0.45480516874807703</v>
      </c>
      <c r="CR27" s="63">
        <f t="shared" si="16"/>
        <v>0</v>
      </c>
      <c r="CS27" s="63">
        <f t="shared" si="17"/>
        <v>0.45480516874807703</v>
      </c>
      <c r="CT27" s="63">
        <f t="shared" si="18"/>
        <v>1.39860791215351</v>
      </c>
      <c r="CU27" s="63">
        <f t="shared" si="19"/>
        <v>9.3200582056497208</v>
      </c>
      <c r="CV27" s="63">
        <f t="shared" si="20"/>
        <v>26.058416670000021</v>
      </c>
      <c r="CW27" s="63">
        <f t="shared" si="21"/>
        <v>80.134330559999924</v>
      </c>
      <c r="CX27" s="63">
        <f t="shared" si="22"/>
        <v>260330.30001199999</v>
      </c>
      <c r="CY27" s="63">
        <f t="shared" si="23"/>
        <v>800803.59001599997</v>
      </c>
    </row>
    <row r="28" spans="1:103" x14ac:dyDescent="0.25">
      <c r="A28" s="67">
        <v>18</v>
      </c>
      <c r="B28" s="84"/>
      <c r="C28" s="84"/>
      <c r="D28" s="84"/>
      <c r="E28" s="84"/>
      <c r="F28" s="109" t="str">
        <f t="shared" si="27"/>
        <v/>
      </c>
      <c r="G28" s="81"/>
      <c r="H28" s="81"/>
      <c r="I28" s="85"/>
      <c r="J28" s="77" t="str">
        <f t="shared" si="28"/>
        <v/>
      </c>
      <c r="K28" s="77" t="str">
        <f t="shared" si="29"/>
        <v/>
      </c>
      <c r="L28" s="77" t="str">
        <f t="shared" si="30"/>
        <v/>
      </c>
      <c r="M28" s="79" t="str">
        <f t="shared" si="31"/>
        <v/>
      </c>
      <c r="N28" s="79" t="str">
        <f t="shared" si="32"/>
        <v/>
      </c>
      <c r="O28" s="79" t="str">
        <f t="shared" si="33"/>
        <v/>
      </c>
      <c r="P28" s="77" t="str">
        <f t="shared" si="34"/>
        <v/>
      </c>
      <c r="Q28" s="77" t="str">
        <f t="shared" si="35"/>
        <v/>
      </c>
      <c r="R28" s="77" t="str">
        <f t="shared" si="36"/>
        <v/>
      </c>
      <c r="S28" s="8"/>
      <c r="T28" s="74">
        <f t="shared" si="37"/>
        <v>-80.134330559999924</v>
      </c>
      <c r="U28" s="66">
        <f t="shared" si="38"/>
        <v>26.058416670000021</v>
      </c>
      <c r="V28" s="66">
        <f t="shared" si="39"/>
        <v>1.524</v>
      </c>
      <c r="W28" s="3" t="str">
        <f t="shared" si="40"/>
        <v/>
      </c>
      <c r="X28" s="3" t="str">
        <f t="shared" si="41"/>
        <v/>
      </c>
      <c r="Y28" s="3" t="str">
        <f ca="1">IF(Data!$O$47/2+4000&lt;W28,"Beyond",IF(Data!$O$47/2&gt;W28,"Behind","Inside"))</f>
        <v>Beyond</v>
      </c>
      <c r="Z28" s="20" t="e">
        <f ca="1">IF((TAN(Data!$AA$5*PI()/180)*W28)+(Data!$O$47/2)&lt;Data!$O$47/2,Data!$O$47/2,IF((TAN(Data!$AA$5*PI()/180)*W28)+(Data!$O$47/2)&gt;250,250,(TAN(Data!$AA$5*PI()/180)*W28)+(Data!$O$47/2)))</f>
        <v>#VALUE!</v>
      </c>
      <c r="AA28" s="3" t="str">
        <f t="shared" ca="1" si="42"/>
        <v>No</v>
      </c>
      <c r="AB28" s="20" t="e">
        <f ca="1">IF(((W28-(Data!$O$47/2))/8)&gt;0,((W28-(Data!$O$47/2))/8),0)</f>
        <v>#VALUE!</v>
      </c>
      <c r="AC28" s="20" t="e">
        <f t="shared" ca="1" si="43"/>
        <v>#VALUE!</v>
      </c>
      <c r="AD28" s="3" t="str">
        <f>IF(Data!$D$29="","",IF(AND($C28="",$D28="",$E28="",$G28="",$H28="",$I28=""),"",IF(AND(Y28="Inside",AA28="Yes",AC28&gt;0),"Yes - "&amp;ROUND(AC28,2)&amp;" ft","No")))</f>
        <v/>
      </c>
      <c r="AE28" s="3" t="str">
        <f ca="1">IF(Data!$O$47/2+2000&lt;W28,"Beyond",IF(Data!$O$47/2&gt;W28,"Behind","Inside"))</f>
        <v>Beyond</v>
      </c>
      <c r="AF28" s="20" t="e">
        <f ca="1">(TAN(Data!$AA$12*PI()/180)*W28)+(Data!$O$47/2)</f>
        <v>#VALUE!</v>
      </c>
      <c r="AG28" s="3" t="e">
        <f t="shared" ca="1" si="44"/>
        <v>#VALUE!</v>
      </c>
      <c r="AH28" s="20" t="e">
        <f t="shared" ca="1" si="45"/>
        <v>#VALUE!</v>
      </c>
      <c r="AI28" s="20" t="e">
        <f t="shared" ca="1" si="46"/>
        <v>#VALUE!</v>
      </c>
      <c r="AJ28" s="3" t="str">
        <f>IF(Data!$D$29="","",IF(AND($C28="",$D28="",$E28="",$G28="",$H28="",$I28=""),"",IF(AND(AE28="Inside",AG28="Yes",AI28&gt;0),"Yes - "&amp;ROUND(AI28,2)&amp;" ft","No")))</f>
        <v/>
      </c>
      <c r="AK28" s="3" t="str">
        <f ca="1">IF(0-Data!$O$47/2&gt;W28,"Behind",IF(Data!$O$47/2+4000&lt;W28,"Beyond","Inside"))</f>
        <v>Beyond</v>
      </c>
      <c r="AL28" s="3" t="e">
        <f t="shared" ca="1" si="47"/>
        <v>#VALUE!</v>
      </c>
      <c r="AM28" s="20" t="e">
        <f t="shared" ca="1" si="48"/>
        <v>#VALUE!</v>
      </c>
      <c r="AN28" s="20" t="e">
        <f t="shared" ca="1" si="49"/>
        <v>#VALUE!</v>
      </c>
      <c r="AO28" s="3" t="str">
        <f>IF(Data!$D$29="","",IF(AND($C28="",$D28="",$E28="",$G28="",$H28="",$I28=""),"",IF(AND(AK28="Inside",AL28="Yes",AN28&gt;0),"Yes - "&amp;ROUND(AN28,2)&amp;" ft","No")))</f>
        <v/>
      </c>
      <c r="AP28" s="72" t="str">
        <f t="shared" si="50"/>
        <v/>
      </c>
      <c r="AQ28" s="72" t="str">
        <f t="shared" si="51"/>
        <v/>
      </c>
      <c r="AR28" s="72" t="str">
        <f ca="1">IF(Data!$O$47/2+4000&lt;AP28,"Beyond",IF(Data!$O$47/2&gt;AP28,"Behind","Inside"))</f>
        <v>Beyond</v>
      </c>
      <c r="AS28" s="72" t="e">
        <f ca="1">IF((TAN(Data!$AA$5*PI()/180)*AP28)+(Data!$O$47/2)&lt;Data!$O$47/2,Data!$O$47/2,IF((TAN(Data!$AA$5*PI()/180)*AP28)+(Data!$O$47/2)&gt;250,250,(TAN(Data!$AA$5*PI()/180)*AP28)+(Data!$O$47/2)))</f>
        <v>#VALUE!</v>
      </c>
      <c r="AT28" s="72" t="str">
        <f t="shared" ca="1" si="52"/>
        <v>No</v>
      </c>
      <c r="AU28" s="72" t="e">
        <f ca="1">IF(((AP28-(Data!$O$47/2))/8)&gt;0,((AP28-(Data!$O$47/2))/8),0)</f>
        <v>#VALUE!</v>
      </c>
      <c r="AV28" s="72" t="e">
        <f t="shared" ca="1" si="53"/>
        <v>#VALUE!</v>
      </c>
      <c r="AW28" s="72" t="str">
        <f>IF(Data!$D$30="","",IF(AND($C28="",$D28="",$E28="",$G28="",$H28="",$I28=""),"",IF(AND(AR28="Inside",AT28="Yes",AV28&gt;0),"Yes - "&amp;ROUND(AV28,2)&amp;" ft","No")))</f>
        <v/>
      </c>
      <c r="AX28" s="72" t="str">
        <f ca="1">IF(Data!$O$47/2+2000&lt;AP28,"Beyond",IF(Data!$O$47/2&gt;AP28,"Behind","Inside"))</f>
        <v>Beyond</v>
      </c>
      <c r="AY28" s="72" t="e">
        <f ca="1">(TAN(Data!$AA$12*PI()/180)*AP28)+(Data!$O$47/2)</f>
        <v>#VALUE!</v>
      </c>
      <c r="AZ28" s="72" t="e">
        <f t="shared" ca="1" si="54"/>
        <v>#VALUE!</v>
      </c>
      <c r="BA28" s="72" t="e">
        <f t="shared" ca="1" si="55"/>
        <v>#VALUE!</v>
      </c>
      <c r="BB28" s="72" t="e">
        <f t="shared" ca="1" si="56"/>
        <v>#VALUE!</v>
      </c>
      <c r="BC28" s="72" t="str">
        <f>IF(Data!$D$30="","",IF(AND($C28="",$D28="",$E28="",$G28="",$H28="",$I28=""),"",IF(AND(AX28="Inside",AZ28="Yes",BB28&gt;0),"Yes - "&amp;ROUND(BB28,2)&amp;" ft","No")))</f>
        <v/>
      </c>
      <c r="BD28" s="72" t="str">
        <f ca="1">IF(0-Data!$O$47/2&gt;AP28,"Behind",IF(Data!$O$47/2+4000&lt;AP28,"Beyond","Inside"))</f>
        <v>Beyond</v>
      </c>
      <c r="BE28" s="72" t="e">
        <f t="shared" ca="1" si="57"/>
        <v>#VALUE!</v>
      </c>
      <c r="BF28" s="72" t="e">
        <f t="shared" ca="1" si="58"/>
        <v>#VALUE!</v>
      </c>
      <c r="BG28" s="72" t="e">
        <f t="shared" ca="1" si="59"/>
        <v>#VALUE!</v>
      </c>
      <c r="BH28" s="72" t="str">
        <f>IF(Data!$D$30="","",IF(AND($C28="",$D28="",$E28="",$G28="",$H28="",$I28=""),"",IF(AND(BD28="Inside",BE28="Yes",BG28&gt;0),"Yes - "&amp;ROUND(BG28,2)&amp;" ft","No")))</f>
        <v/>
      </c>
      <c r="BI28" s="3" t="str">
        <f t="shared" si="60"/>
        <v/>
      </c>
      <c r="BJ28" s="3" t="str">
        <f t="shared" si="61"/>
        <v/>
      </c>
      <c r="BK28" s="3" t="str">
        <f ca="1">IF(Data!$O$47/2+4000&lt;BI28,"Beyond",IF(Data!$O$47/2&gt;BI28,"Behind","Inside"))</f>
        <v>Beyond</v>
      </c>
      <c r="BL28" s="20" t="e">
        <f ca="1">IF((TAN(Data!$AA$5*PI()/180)*BI28)+(Data!$O$47/2)&lt;Data!$O$47/2,Data!$O$47/2,IF((TAN(Data!$AA$5*PI()/180)*BI28)+(Data!$O$47/2)&gt;250,250,(TAN(Data!$AA$5*PI()/180)*BI28)+(Data!$O$47/2)))</f>
        <v>#VALUE!</v>
      </c>
      <c r="BM28" s="3" t="str">
        <f t="shared" ca="1" si="62"/>
        <v>No</v>
      </c>
      <c r="BN28" s="20" t="e">
        <f ca="1">IF(((BI28-(Data!$O$47/2))/8)&gt;0,((BI28-(Data!$O$47/2))/8),0)</f>
        <v>#VALUE!</v>
      </c>
      <c r="BO28" s="20" t="e">
        <f t="shared" ca="1" si="63"/>
        <v>#VALUE!</v>
      </c>
      <c r="BP28" s="3" t="str">
        <f>IF(Data!$D$31="","",IF(AND($C28="",$D28="",$E28="",$G28="",$H28="",$I28=""),"",IF(AND(BK28="Inside",BM28="Yes",BO28&gt;0),"Yes - "&amp;ROUND(BO28,2)&amp;" ft","No")))</f>
        <v/>
      </c>
      <c r="BQ28" s="3" t="str">
        <f ca="1">IF(Data!$O$47/2+2000&lt;BI28,"Beyond",IF(Data!$O$47/2&gt;BI28,"Behind","Inside"))</f>
        <v>Beyond</v>
      </c>
      <c r="BR28" s="20" t="e">
        <f ca="1">(TAN(Data!$AA$12*PI()/180)*BI28)+(Data!$O$47/2)</f>
        <v>#VALUE!</v>
      </c>
      <c r="BS28" s="3" t="e">
        <f t="shared" ca="1" si="64"/>
        <v>#VALUE!</v>
      </c>
      <c r="BT28" s="20" t="e">
        <f t="shared" ca="1" si="65"/>
        <v>#VALUE!</v>
      </c>
      <c r="BU28" s="20" t="e">
        <f t="shared" ca="1" si="66"/>
        <v>#VALUE!</v>
      </c>
      <c r="BV28" s="3" t="str">
        <f>IF(Data!$D$31="","",IF(AND($C28="",$D28="",$E28="",$G28="",$H28="",$I28=""),"",IF(AND(BQ28="Inside",BS28="Yes",BU28&gt;0),"Yes - "&amp;ROUND(BU28,2)&amp;" ft","No")))</f>
        <v/>
      </c>
      <c r="BW28" s="3" t="str">
        <f ca="1">IF(0-Data!$O$47/2&gt;BI28,"Behind",IF(Data!$O$47/2+4000&lt;BI28,"Beyond","Inside"))</f>
        <v>Beyond</v>
      </c>
      <c r="BX28" s="3" t="e">
        <f t="shared" ca="1" si="67"/>
        <v>#VALUE!</v>
      </c>
      <c r="BY28" s="20" t="e">
        <f t="shared" ca="1" si="68"/>
        <v>#VALUE!</v>
      </c>
      <c r="BZ28" s="20" t="e">
        <f t="shared" ca="1" si="69"/>
        <v>#VALUE!</v>
      </c>
      <c r="CA28" s="3" t="str">
        <f>IF(Data!$D$31="","",IF(AND($C28="",$D28="",$E28="",$G28="",$H28="",$I28=""),"",IF(AND(BW28="Inside",BX28="Yes",BZ28&gt;0),"Yes - "&amp;ROUND(BZ28,2)&amp;" ft","No")))</f>
        <v/>
      </c>
      <c r="CB28" s="9"/>
      <c r="CC28" t="str">
        <f t="shared" si="70"/>
        <v>No</v>
      </c>
      <c r="CD28" s="62" t="s">
        <v>534</v>
      </c>
      <c r="CE28" s="63">
        <f t="shared" si="7"/>
        <v>0</v>
      </c>
      <c r="CF28" s="63">
        <f t="shared" si="5"/>
        <v>260330.3</v>
      </c>
      <c r="CG28" s="63">
        <f t="shared" si="6"/>
        <v>800803.59</v>
      </c>
      <c r="CH28" s="63">
        <f t="shared" si="24"/>
        <v>354</v>
      </c>
      <c r="CI28" s="63">
        <f t="shared" si="9"/>
        <v>0</v>
      </c>
      <c r="CJ28" s="63">
        <f t="shared" si="10"/>
        <v>0.45480516874807703</v>
      </c>
      <c r="CK28" s="63">
        <f t="shared" si="11"/>
        <v>1.39860791215351</v>
      </c>
      <c r="CL28" s="63">
        <f t="shared" si="25"/>
        <v>354</v>
      </c>
      <c r="CM28" s="63">
        <f t="shared" si="26"/>
        <v>6.1784655520599303</v>
      </c>
      <c r="CN28" s="63">
        <f t="shared" si="12"/>
        <v>0</v>
      </c>
      <c r="CO28" s="63">
        <f t="shared" si="13"/>
        <v>1.00543891812539</v>
      </c>
      <c r="CP28" s="63">
        <f t="shared" si="14"/>
        <v>0</v>
      </c>
      <c r="CQ28" s="63">
        <f t="shared" si="15"/>
        <v>0.45480516874807703</v>
      </c>
      <c r="CR28" s="63">
        <f t="shared" si="16"/>
        <v>0</v>
      </c>
      <c r="CS28" s="63">
        <f t="shared" si="17"/>
        <v>0.45480516874807703</v>
      </c>
      <c r="CT28" s="63">
        <f t="shared" si="18"/>
        <v>1.39860791215351</v>
      </c>
      <c r="CU28" s="63">
        <f t="shared" si="19"/>
        <v>9.3200582056497208</v>
      </c>
      <c r="CV28" s="63">
        <f t="shared" si="20"/>
        <v>26.058416670000021</v>
      </c>
      <c r="CW28" s="63">
        <f t="shared" si="21"/>
        <v>80.134330559999924</v>
      </c>
      <c r="CX28" s="63">
        <f t="shared" si="22"/>
        <v>260330.30001199999</v>
      </c>
      <c r="CY28" s="63">
        <f t="shared" si="23"/>
        <v>800803.59001599997</v>
      </c>
    </row>
    <row r="29" spans="1:103" x14ac:dyDescent="0.25">
      <c r="A29" s="67">
        <v>19</v>
      </c>
      <c r="B29" s="84"/>
      <c r="C29" s="84"/>
      <c r="D29" s="84"/>
      <c r="E29" s="84"/>
      <c r="F29" s="109" t="str">
        <f t="shared" si="27"/>
        <v/>
      </c>
      <c r="G29" s="81"/>
      <c r="H29" s="81"/>
      <c r="I29" s="85"/>
      <c r="J29" s="77" t="str">
        <f t="shared" si="28"/>
        <v/>
      </c>
      <c r="K29" s="77" t="str">
        <f t="shared" si="29"/>
        <v/>
      </c>
      <c r="L29" s="77" t="str">
        <f t="shared" si="30"/>
        <v/>
      </c>
      <c r="M29" s="79" t="str">
        <f t="shared" si="31"/>
        <v/>
      </c>
      <c r="N29" s="79" t="str">
        <f t="shared" si="32"/>
        <v/>
      </c>
      <c r="O29" s="79" t="str">
        <f t="shared" si="33"/>
        <v/>
      </c>
      <c r="P29" s="77" t="str">
        <f t="shared" si="34"/>
        <v/>
      </c>
      <c r="Q29" s="77" t="str">
        <f t="shared" si="35"/>
        <v/>
      </c>
      <c r="R29" s="77" t="str">
        <f t="shared" si="36"/>
        <v/>
      </c>
      <c r="S29" s="8"/>
      <c r="T29" s="74">
        <f t="shared" si="37"/>
        <v>-80.134330559999924</v>
      </c>
      <c r="U29" s="66">
        <f t="shared" si="38"/>
        <v>26.058416670000021</v>
      </c>
      <c r="V29" s="66">
        <f t="shared" si="39"/>
        <v>1.524</v>
      </c>
      <c r="W29" s="3" t="str">
        <f t="shared" si="40"/>
        <v/>
      </c>
      <c r="X29" s="3" t="str">
        <f t="shared" si="41"/>
        <v/>
      </c>
      <c r="Y29" s="3" t="str">
        <f ca="1">IF(Data!$O$47/2+4000&lt;W29,"Beyond",IF(Data!$O$47/2&gt;W29,"Behind","Inside"))</f>
        <v>Beyond</v>
      </c>
      <c r="Z29" s="20" t="e">
        <f ca="1">IF((TAN(Data!$AA$5*PI()/180)*W29)+(Data!$O$47/2)&lt;Data!$O$47/2,Data!$O$47/2,IF((TAN(Data!$AA$5*PI()/180)*W29)+(Data!$O$47/2)&gt;250,250,(TAN(Data!$AA$5*PI()/180)*W29)+(Data!$O$47/2)))</f>
        <v>#VALUE!</v>
      </c>
      <c r="AA29" s="3" t="str">
        <f t="shared" ca="1" si="42"/>
        <v>No</v>
      </c>
      <c r="AB29" s="20" t="e">
        <f ca="1">IF(((W29-(Data!$O$47/2))/8)&gt;0,((W29-(Data!$O$47/2))/8),0)</f>
        <v>#VALUE!</v>
      </c>
      <c r="AC29" s="20" t="e">
        <f t="shared" ca="1" si="43"/>
        <v>#VALUE!</v>
      </c>
      <c r="AD29" s="3" t="str">
        <f>IF(Data!$D$29="","",IF(AND($C29="",$D29="",$E29="",$G29="",$H29="",$I29=""),"",IF(AND(Y29="Inside",AA29="Yes",AC29&gt;0),"Yes - "&amp;ROUND(AC29,2)&amp;" ft","No")))</f>
        <v/>
      </c>
      <c r="AE29" s="3" t="str">
        <f ca="1">IF(Data!$O$47/2+2000&lt;W29,"Beyond",IF(Data!$O$47/2&gt;W29,"Behind","Inside"))</f>
        <v>Beyond</v>
      </c>
      <c r="AF29" s="20" t="e">
        <f ca="1">(TAN(Data!$AA$12*PI()/180)*W29)+(Data!$O$47/2)</f>
        <v>#VALUE!</v>
      </c>
      <c r="AG29" s="3" t="e">
        <f t="shared" ca="1" si="44"/>
        <v>#VALUE!</v>
      </c>
      <c r="AH29" s="20" t="e">
        <f t="shared" ca="1" si="45"/>
        <v>#VALUE!</v>
      </c>
      <c r="AI29" s="20" t="e">
        <f t="shared" ca="1" si="46"/>
        <v>#VALUE!</v>
      </c>
      <c r="AJ29" s="3" t="str">
        <f>IF(Data!$D$29="","",IF(AND($C29="",$D29="",$E29="",$G29="",$H29="",$I29=""),"",IF(AND(AE29="Inside",AG29="Yes",AI29&gt;0),"Yes - "&amp;ROUND(AI29,2)&amp;" ft","No")))</f>
        <v/>
      </c>
      <c r="AK29" s="3" t="str">
        <f ca="1">IF(0-Data!$O$47/2&gt;W29,"Behind",IF(Data!$O$47/2+4000&lt;W29,"Beyond","Inside"))</f>
        <v>Beyond</v>
      </c>
      <c r="AL29" s="3" t="e">
        <f t="shared" ca="1" si="47"/>
        <v>#VALUE!</v>
      </c>
      <c r="AM29" s="20" t="e">
        <f t="shared" ca="1" si="48"/>
        <v>#VALUE!</v>
      </c>
      <c r="AN29" s="20" t="e">
        <f t="shared" ca="1" si="49"/>
        <v>#VALUE!</v>
      </c>
      <c r="AO29" s="3" t="str">
        <f>IF(Data!$D$29="","",IF(AND($C29="",$D29="",$E29="",$G29="",$H29="",$I29=""),"",IF(AND(AK29="Inside",AL29="Yes",AN29&gt;0),"Yes - "&amp;ROUND(AN29,2)&amp;" ft","No")))</f>
        <v/>
      </c>
      <c r="AP29" s="72" t="str">
        <f t="shared" si="50"/>
        <v/>
      </c>
      <c r="AQ29" s="72" t="str">
        <f t="shared" si="51"/>
        <v/>
      </c>
      <c r="AR29" s="72" t="str">
        <f ca="1">IF(Data!$O$47/2+4000&lt;AP29,"Beyond",IF(Data!$O$47/2&gt;AP29,"Behind","Inside"))</f>
        <v>Beyond</v>
      </c>
      <c r="AS29" s="72" t="e">
        <f ca="1">IF((TAN(Data!$AA$5*PI()/180)*AP29)+(Data!$O$47/2)&lt;Data!$O$47/2,Data!$O$47/2,IF((TAN(Data!$AA$5*PI()/180)*AP29)+(Data!$O$47/2)&gt;250,250,(TAN(Data!$AA$5*PI()/180)*AP29)+(Data!$O$47/2)))</f>
        <v>#VALUE!</v>
      </c>
      <c r="AT29" s="72" t="str">
        <f t="shared" ca="1" si="52"/>
        <v>No</v>
      </c>
      <c r="AU29" s="72" t="e">
        <f ca="1">IF(((AP29-(Data!$O$47/2))/8)&gt;0,((AP29-(Data!$O$47/2))/8),0)</f>
        <v>#VALUE!</v>
      </c>
      <c r="AV29" s="72" t="e">
        <f t="shared" ca="1" si="53"/>
        <v>#VALUE!</v>
      </c>
      <c r="AW29" s="72" t="str">
        <f>IF(Data!$D$30="","",IF(AND($C29="",$D29="",$E29="",$G29="",$H29="",$I29=""),"",IF(AND(AR29="Inside",AT29="Yes",AV29&gt;0),"Yes - "&amp;ROUND(AV29,2)&amp;" ft","No")))</f>
        <v/>
      </c>
      <c r="AX29" s="72" t="str">
        <f ca="1">IF(Data!$O$47/2+2000&lt;AP29,"Beyond",IF(Data!$O$47/2&gt;AP29,"Behind","Inside"))</f>
        <v>Beyond</v>
      </c>
      <c r="AY29" s="72" t="e">
        <f ca="1">(TAN(Data!$AA$12*PI()/180)*AP29)+(Data!$O$47/2)</f>
        <v>#VALUE!</v>
      </c>
      <c r="AZ29" s="72" t="e">
        <f t="shared" ca="1" si="54"/>
        <v>#VALUE!</v>
      </c>
      <c r="BA29" s="72" t="e">
        <f t="shared" ca="1" si="55"/>
        <v>#VALUE!</v>
      </c>
      <c r="BB29" s="72" t="e">
        <f t="shared" ca="1" si="56"/>
        <v>#VALUE!</v>
      </c>
      <c r="BC29" s="72" t="str">
        <f>IF(Data!$D$30="","",IF(AND($C29="",$D29="",$E29="",$G29="",$H29="",$I29=""),"",IF(AND(AX29="Inside",AZ29="Yes",BB29&gt;0),"Yes - "&amp;ROUND(BB29,2)&amp;" ft","No")))</f>
        <v/>
      </c>
      <c r="BD29" s="72" t="str">
        <f ca="1">IF(0-Data!$O$47/2&gt;AP29,"Behind",IF(Data!$O$47/2+4000&lt;AP29,"Beyond","Inside"))</f>
        <v>Beyond</v>
      </c>
      <c r="BE29" s="72" t="e">
        <f t="shared" ca="1" si="57"/>
        <v>#VALUE!</v>
      </c>
      <c r="BF29" s="72" t="e">
        <f t="shared" ca="1" si="58"/>
        <v>#VALUE!</v>
      </c>
      <c r="BG29" s="72" t="e">
        <f t="shared" ca="1" si="59"/>
        <v>#VALUE!</v>
      </c>
      <c r="BH29" s="72" t="str">
        <f>IF(Data!$D$30="","",IF(AND($C29="",$D29="",$E29="",$G29="",$H29="",$I29=""),"",IF(AND(BD29="Inside",BE29="Yes",BG29&gt;0),"Yes - "&amp;ROUND(BG29,2)&amp;" ft","No")))</f>
        <v/>
      </c>
      <c r="BI29" s="3" t="str">
        <f t="shared" si="60"/>
        <v/>
      </c>
      <c r="BJ29" s="3" t="str">
        <f t="shared" si="61"/>
        <v/>
      </c>
      <c r="BK29" s="3" t="str">
        <f ca="1">IF(Data!$O$47/2+4000&lt;BI29,"Beyond",IF(Data!$O$47/2&gt;BI29,"Behind","Inside"))</f>
        <v>Beyond</v>
      </c>
      <c r="BL29" s="20" t="e">
        <f ca="1">IF((TAN(Data!$AA$5*PI()/180)*BI29)+(Data!$O$47/2)&lt;Data!$O$47/2,Data!$O$47/2,IF((TAN(Data!$AA$5*PI()/180)*BI29)+(Data!$O$47/2)&gt;250,250,(TAN(Data!$AA$5*PI()/180)*BI29)+(Data!$O$47/2)))</f>
        <v>#VALUE!</v>
      </c>
      <c r="BM29" s="3" t="str">
        <f t="shared" ca="1" si="62"/>
        <v>No</v>
      </c>
      <c r="BN29" s="20" t="e">
        <f ca="1">IF(((BI29-(Data!$O$47/2))/8)&gt;0,((BI29-(Data!$O$47/2))/8),0)</f>
        <v>#VALUE!</v>
      </c>
      <c r="BO29" s="20" t="e">
        <f t="shared" ca="1" si="63"/>
        <v>#VALUE!</v>
      </c>
      <c r="BP29" s="3" t="str">
        <f>IF(Data!$D$31="","",IF(AND($C29="",$D29="",$E29="",$G29="",$H29="",$I29=""),"",IF(AND(BK29="Inside",BM29="Yes",BO29&gt;0),"Yes - "&amp;ROUND(BO29,2)&amp;" ft","No")))</f>
        <v/>
      </c>
      <c r="BQ29" s="3" t="str">
        <f ca="1">IF(Data!$O$47/2+2000&lt;BI29,"Beyond",IF(Data!$O$47/2&gt;BI29,"Behind","Inside"))</f>
        <v>Beyond</v>
      </c>
      <c r="BR29" s="20" t="e">
        <f ca="1">(TAN(Data!$AA$12*PI()/180)*BI29)+(Data!$O$47/2)</f>
        <v>#VALUE!</v>
      </c>
      <c r="BS29" s="3" t="e">
        <f t="shared" ca="1" si="64"/>
        <v>#VALUE!</v>
      </c>
      <c r="BT29" s="20" t="e">
        <f t="shared" ca="1" si="65"/>
        <v>#VALUE!</v>
      </c>
      <c r="BU29" s="20" t="e">
        <f t="shared" ca="1" si="66"/>
        <v>#VALUE!</v>
      </c>
      <c r="BV29" s="3" t="str">
        <f>IF(Data!$D$31="","",IF(AND($C29="",$D29="",$E29="",$G29="",$H29="",$I29=""),"",IF(AND(BQ29="Inside",BS29="Yes",BU29&gt;0),"Yes - "&amp;ROUND(BU29,2)&amp;" ft","No")))</f>
        <v/>
      </c>
      <c r="BW29" s="3" t="str">
        <f ca="1">IF(0-Data!$O$47/2&gt;BI29,"Behind",IF(Data!$O$47/2+4000&lt;BI29,"Beyond","Inside"))</f>
        <v>Beyond</v>
      </c>
      <c r="BX29" s="3" t="e">
        <f t="shared" ca="1" si="67"/>
        <v>#VALUE!</v>
      </c>
      <c r="BY29" s="20" t="e">
        <f t="shared" ca="1" si="68"/>
        <v>#VALUE!</v>
      </c>
      <c r="BZ29" s="20" t="e">
        <f t="shared" ca="1" si="69"/>
        <v>#VALUE!</v>
      </c>
      <c r="CA29" s="3" t="str">
        <f>IF(Data!$D$31="","",IF(AND($C29="",$D29="",$E29="",$G29="",$H29="",$I29=""),"",IF(AND(BW29="Inside",BX29="Yes",BZ29&gt;0),"Yes - "&amp;ROUND(BZ29,2)&amp;" ft","No")))</f>
        <v/>
      </c>
      <c r="CB29" s="9"/>
      <c r="CC29" t="str">
        <f t="shared" si="70"/>
        <v>No</v>
      </c>
      <c r="CD29" s="62" t="s">
        <v>535</v>
      </c>
      <c r="CE29" s="63">
        <f t="shared" si="7"/>
        <v>0</v>
      </c>
      <c r="CF29" s="63">
        <f t="shared" si="5"/>
        <v>260330.3</v>
      </c>
      <c r="CG29" s="63">
        <f t="shared" si="6"/>
        <v>800803.59</v>
      </c>
      <c r="CH29" s="63">
        <f t="shared" si="24"/>
        <v>354</v>
      </c>
      <c r="CI29" s="63">
        <f t="shared" si="9"/>
        <v>0</v>
      </c>
      <c r="CJ29" s="63">
        <f t="shared" si="10"/>
        <v>0.45480516874807703</v>
      </c>
      <c r="CK29" s="63">
        <f t="shared" si="11"/>
        <v>1.39860791215351</v>
      </c>
      <c r="CL29" s="63">
        <f t="shared" si="25"/>
        <v>354</v>
      </c>
      <c r="CM29" s="63">
        <f t="shared" si="26"/>
        <v>6.1784655520599303</v>
      </c>
      <c r="CN29" s="63">
        <f t="shared" si="12"/>
        <v>0</v>
      </c>
      <c r="CO29" s="63">
        <f t="shared" si="13"/>
        <v>1.00543891812539</v>
      </c>
      <c r="CP29" s="63">
        <f t="shared" si="14"/>
        <v>0</v>
      </c>
      <c r="CQ29" s="63">
        <f t="shared" si="15"/>
        <v>0.45480516874807703</v>
      </c>
      <c r="CR29" s="63">
        <f t="shared" si="16"/>
        <v>0</v>
      </c>
      <c r="CS29" s="63">
        <f t="shared" si="17"/>
        <v>0.45480516874807703</v>
      </c>
      <c r="CT29" s="63">
        <f t="shared" si="18"/>
        <v>1.39860791215351</v>
      </c>
      <c r="CU29" s="63">
        <f t="shared" si="19"/>
        <v>9.3200582056497208</v>
      </c>
      <c r="CV29" s="63">
        <f t="shared" si="20"/>
        <v>26.058416670000021</v>
      </c>
      <c r="CW29" s="63">
        <f t="shared" si="21"/>
        <v>80.134330559999924</v>
      </c>
      <c r="CX29" s="63">
        <f t="shared" si="22"/>
        <v>260330.30001199999</v>
      </c>
      <c r="CY29" s="63">
        <f t="shared" si="23"/>
        <v>800803.59001599997</v>
      </c>
    </row>
    <row r="30" spans="1:103" x14ac:dyDescent="0.25">
      <c r="A30" s="67">
        <v>20</v>
      </c>
      <c r="B30" s="84"/>
      <c r="C30" s="84"/>
      <c r="D30" s="84"/>
      <c r="E30" s="84"/>
      <c r="F30" s="109" t="str">
        <f t="shared" si="27"/>
        <v/>
      </c>
      <c r="G30" s="81"/>
      <c r="H30" s="81"/>
      <c r="I30" s="85"/>
      <c r="J30" s="77" t="str">
        <f t="shared" si="28"/>
        <v/>
      </c>
      <c r="K30" s="77" t="str">
        <f t="shared" si="29"/>
        <v/>
      </c>
      <c r="L30" s="77" t="str">
        <f t="shared" si="30"/>
        <v/>
      </c>
      <c r="M30" s="79" t="str">
        <f t="shared" si="31"/>
        <v/>
      </c>
      <c r="N30" s="79" t="str">
        <f t="shared" si="32"/>
        <v/>
      </c>
      <c r="O30" s="79" t="str">
        <f t="shared" si="33"/>
        <v/>
      </c>
      <c r="P30" s="77" t="str">
        <f t="shared" si="34"/>
        <v/>
      </c>
      <c r="Q30" s="77" t="str">
        <f t="shared" si="35"/>
        <v/>
      </c>
      <c r="R30" s="77" t="str">
        <f t="shared" si="36"/>
        <v/>
      </c>
      <c r="S30" s="8"/>
      <c r="T30" s="74">
        <f t="shared" si="37"/>
        <v>-80.134330559999924</v>
      </c>
      <c r="U30" s="66">
        <f t="shared" si="38"/>
        <v>26.058416670000021</v>
      </c>
      <c r="V30" s="66">
        <f t="shared" si="39"/>
        <v>1.524</v>
      </c>
      <c r="W30" s="3" t="str">
        <f t="shared" si="40"/>
        <v/>
      </c>
      <c r="X30" s="3" t="str">
        <f t="shared" si="41"/>
        <v/>
      </c>
      <c r="Y30" s="3" t="str">
        <f ca="1">IF(Data!$O$47/2+4000&lt;W30,"Beyond",IF(Data!$O$47/2&gt;W30,"Behind","Inside"))</f>
        <v>Beyond</v>
      </c>
      <c r="Z30" s="20" t="e">
        <f ca="1">IF((TAN(Data!$AA$5*PI()/180)*W30)+(Data!$O$47/2)&lt;Data!$O$47/2,Data!$O$47/2,IF((TAN(Data!$AA$5*PI()/180)*W30)+(Data!$O$47/2)&gt;250,250,(TAN(Data!$AA$5*PI()/180)*W30)+(Data!$O$47/2)))</f>
        <v>#VALUE!</v>
      </c>
      <c r="AA30" s="3" t="str">
        <f t="shared" ca="1" si="42"/>
        <v>No</v>
      </c>
      <c r="AB30" s="20" t="e">
        <f ca="1">IF(((W30-(Data!$O$47/2))/8)&gt;0,((W30-(Data!$O$47/2))/8),0)</f>
        <v>#VALUE!</v>
      </c>
      <c r="AC30" s="20" t="e">
        <f t="shared" ca="1" si="43"/>
        <v>#VALUE!</v>
      </c>
      <c r="AD30" s="3" t="str">
        <f>IF(Data!$D$29="","",IF(AND($C30="",$D30="",$E30="",$G30="",$H30="",$I30=""),"",IF(AND(Y30="Inside",AA30="Yes",AC30&gt;0),"Yes - "&amp;ROUND(AC30,2)&amp;" ft","No")))</f>
        <v/>
      </c>
      <c r="AE30" s="3" t="str">
        <f ca="1">IF(Data!$O$47/2+2000&lt;W30,"Beyond",IF(Data!$O$47/2&gt;W30,"Behind","Inside"))</f>
        <v>Beyond</v>
      </c>
      <c r="AF30" s="20" t="e">
        <f ca="1">(TAN(Data!$AA$12*PI()/180)*W30)+(Data!$O$47/2)</f>
        <v>#VALUE!</v>
      </c>
      <c r="AG30" s="3" t="e">
        <f t="shared" ca="1" si="44"/>
        <v>#VALUE!</v>
      </c>
      <c r="AH30" s="20" t="e">
        <f t="shared" ca="1" si="45"/>
        <v>#VALUE!</v>
      </c>
      <c r="AI30" s="20" t="e">
        <f t="shared" ca="1" si="46"/>
        <v>#VALUE!</v>
      </c>
      <c r="AJ30" s="3" t="str">
        <f>IF(Data!$D$29="","",IF(AND($C30="",$D30="",$E30="",$G30="",$H30="",$I30=""),"",IF(AND(AE30="Inside",AG30="Yes",AI30&gt;0),"Yes - "&amp;ROUND(AI30,2)&amp;" ft","No")))</f>
        <v/>
      </c>
      <c r="AK30" s="3" t="str">
        <f ca="1">IF(0-Data!$O$47/2&gt;W30,"Behind",IF(Data!$O$47/2+4000&lt;W30,"Beyond","Inside"))</f>
        <v>Beyond</v>
      </c>
      <c r="AL30" s="3" t="e">
        <f t="shared" ca="1" si="47"/>
        <v>#VALUE!</v>
      </c>
      <c r="AM30" s="20" t="e">
        <f t="shared" ca="1" si="48"/>
        <v>#VALUE!</v>
      </c>
      <c r="AN30" s="20" t="e">
        <f t="shared" ca="1" si="49"/>
        <v>#VALUE!</v>
      </c>
      <c r="AO30" s="3" t="str">
        <f>IF(Data!$D$29="","",IF(AND($C30="",$D30="",$E30="",$G30="",$H30="",$I30=""),"",IF(AND(AK30="Inside",AL30="Yes",AN30&gt;0),"Yes - "&amp;ROUND(AN30,2)&amp;" ft","No")))</f>
        <v/>
      </c>
      <c r="AP30" s="72" t="str">
        <f t="shared" si="50"/>
        <v/>
      </c>
      <c r="AQ30" s="72" t="str">
        <f t="shared" si="51"/>
        <v/>
      </c>
      <c r="AR30" s="72" t="str">
        <f ca="1">IF(Data!$O$47/2+4000&lt;AP30,"Beyond",IF(Data!$O$47/2&gt;AP30,"Behind","Inside"))</f>
        <v>Beyond</v>
      </c>
      <c r="AS30" s="72" t="e">
        <f ca="1">IF((TAN(Data!$AA$5*PI()/180)*AP30)+(Data!$O$47/2)&lt;Data!$O$47/2,Data!$O$47/2,IF((TAN(Data!$AA$5*PI()/180)*AP30)+(Data!$O$47/2)&gt;250,250,(TAN(Data!$AA$5*PI()/180)*AP30)+(Data!$O$47/2)))</f>
        <v>#VALUE!</v>
      </c>
      <c r="AT30" s="72" t="str">
        <f t="shared" ca="1" si="52"/>
        <v>No</v>
      </c>
      <c r="AU30" s="72" t="e">
        <f ca="1">IF(((AP30-(Data!$O$47/2))/8)&gt;0,((AP30-(Data!$O$47/2))/8),0)</f>
        <v>#VALUE!</v>
      </c>
      <c r="AV30" s="72" t="e">
        <f t="shared" ca="1" si="53"/>
        <v>#VALUE!</v>
      </c>
      <c r="AW30" s="72" t="str">
        <f>IF(Data!$D$30="","",IF(AND($C30="",$D30="",$E30="",$G30="",$H30="",$I30=""),"",IF(AND(AR30="Inside",AT30="Yes",AV30&gt;0),"Yes - "&amp;ROUND(AV30,2)&amp;" ft","No")))</f>
        <v/>
      </c>
      <c r="AX30" s="72" t="str">
        <f ca="1">IF(Data!$O$47/2+2000&lt;AP30,"Beyond",IF(Data!$O$47/2&gt;AP30,"Behind","Inside"))</f>
        <v>Beyond</v>
      </c>
      <c r="AY30" s="72" t="e">
        <f ca="1">(TAN(Data!$AA$12*PI()/180)*AP30)+(Data!$O$47/2)</f>
        <v>#VALUE!</v>
      </c>
      <c r="AZ30" s="72" t="e">
        <f t="shared" ca="1" si="54"/>
        <v>#VALUE!</v>
      </c>
      <c r="BA30" s="72" t="e">
        <f t="shared" ca="1" si="55"/>
        <v>#VALUE!</v>
      </c>
      <c r="BB30" s="72" t="e">
        <f t="shared" ca="1" si="56"/>
        <v>#VALUE!</v>
      </c>
      <c r="BC30" s="72" t="str">
        <f>IF(Data!$D$30="","",IF(AND($C30="",$D30="",$E30="",$G30="",$H30="",$I30=""),"",IF(AND(AX30="Inside",AZ30="Yes",BB30&gt;0),"Yes - "&amp;ROUND(BB30,2)&amp;" ft","No")))</f>
        <v/>
      </c>
      <c r="BD30" s="72" t="str">
        <f ca="1">IF(0-Data!$O$47/2&gt;AP30,"Behind",IF(Data!$O$47/2+4000&lt;AP30,"Beyond","Inside"))</f>
        <v>Beyond</v>
      </c>
      <c r="BE30" s="72" t="e">
        <f t="shared" ca="1" si="57"/>
        <v>#VALUE!</v>
      </c>
      <c r="BF30" s="72" t="e">
        <f t="shared" ca="1" si="58"/>
        <v>#VALUE!</v>
      </c>
      <c r="BG30" s="72" t="e">
        <f t="shared" ca="1" si="59"/>
        <v>#VALUE!</v>
      </c>
      <c r="BH30" s="72" t="str">
        <f>IF(Data!$D$30="","",IF(AND($C30="",$D30="",$E30="",$G30="",$H30="",$I30=""),"",IF(AND(BD30="Inside",BE30="Yes",BG30&gt;0),"Yes - "&amp;ROUND(BG30,2)&amp;" ft","No")))</f>
        <v/>
      </c>
      <c r="BI30" s="3" t="str">
        <f t="shared" si="60"/>
        <v/>
      </c>
      <c r="BJ30" s="3" t="str">
        <f t="shared" si="61"/>
        <v/>
      </c>
      <c r="BK30" s="3" t="str">
        <f ca="1">IF(Data!$O$47/2+4000&lt;BI30,"Beyond",IF(Data!$O$47/2&gt;BI30,"Behind","Inside"))</f>
        <v>Beyond</v>
      </c>
      <c r="BL30" s="20" t="e">
        <f ca="1">IF((TAN(Data!$AA$5*PI()/180)*BI30)+(Data!$O$47/2)&lt;Data!$O$47/2,Data!$O$47/2,IF((TAN(Data!$AA$5*PI()/180)*BI30)+(Data!$O$47/2)&gt;250,250,(TAN(Data!$AA$5*PI()/180)*BI30)+(Data!$O$47/2)))</f>
        <v>#VALUE!</v>
      </c>
      <c r="BM30" s="3" t="str">
        <f t="shared" ca="1" si="62"/>
        <v>No</v>
      </c>
      <c r="BN30" s="20" t="e">
        <f ca="1">IF(((BI30-(Data!$O$47/2))/8)&gt;0,((BI30-(Data!$O$47/2))/8),0)</f>
        <v>#VALUE!</v>
      </c>
      <c r="BO30" s="20" t="e">
        <f t="shared" ca="1" si="63"/>
        <v>#VALUE!</v>
      </c>
      <c r="BP30" s="3" t="str">
        <f>IF(Data!$D$31="","",IF(AND($C30="",$D30="",$E30="",$G30="",$H30="",$I30=""),"",IF(AND(BK30="Inside",BM30="Yes",BO30&gt;0),"Yes - "&amp;ROUND(BO30,2)&amp;" ft","No")))</f>
        <v/>
      </c>
      <c r="BQ30" s="3" t="str">
        <f ca="1">IF(Data!$O$47/2+2000&lt;BI30,"Beyond",IF(Data!$O$47/2&gt;BI30,"Behind","Inside"))</f>
        <v>Beyond</v>
      </c>
      <c r="BR30" s="20" t="e">
        <f ca="1">(TAN(Data!$AA$12*PI()/180)*BI30)+(Data!$O$47/2)</f>
        <v>#VALUE!</v>
      </c>
      <c r="BS30" s="3" t="e">
        <f t="shared" ca="1" si="64"/>
        <v>#VALUE!</v>
      </c>
      <c r="BT30" s="20" t="e">
        <f t="shared" ca="1" si="65"/>
        <v>#VALUE!</v>
      </c>
      <c r="BU30" s="20" t="e">
        <f t="shared" ca="1" si="66"/>
        <v>#VALUE!</v>
      </c>
      <c r="BV30" s="3" t="str">
        <f>IF(Data!$D$31="","",IF(AND($C30="",$D30="",$E30="",$G30="",$H30="",$I30=""),"",IF(AND(BQ30="Inside",BS30="Yes",BU30&gt;0),"Yes - "&amp;ROUND(BU30,2)&amp;" ft","No")))</f>
        <v/>
      </c>
      <c r="BW30" s="3" t="str">
        <f ca="1">IF(0-Data!$O$47/2&gt;BI30,"Behind",IF(Data!$O$47/2+4000&lt;BI30,"Beyond","Inside"))</f>
        <v>Beyond</v>
      </c>
      <c r="BX30" s="3" t="e">
        <f t="shared" ca="1" si="67"/>
        <v>#VALUE!</v>
      </c>
      <c r="BY30" s="20" t="e">
        <f t="shared" ca="1" si="68"/>
        <v>#VALUE!</v>
      </c>
      <c r="BZ30" s="20" t="e">
        <f t="shared" ca="1" si="69"/>
        <v>#VALUE!</v>
      </c>
      <c r="CA30" s="3" t="str">
        <f>IF(Data!$D$31="","",IF(AND($C30="",$D30="",$E30="",$G30="",$H30="",$I30=""),"",IF(AND(BW30="Inside",BX30="Yes",BZ30&gt;0),"Yes - "&amp;ROUND(BZ30,2)&amp;" ft","No")))</f>
        <v/>
      </c>
      <c r="CB30" s="9"/>
      <c r="CC30" t="str">
        <f t="shared" si="70"/>
        <v>No</v>
      </c>
      <c r="CD30" s="62" t="s">
        <v>536</v>
      </c>
      <c r="CE30" s="63">
        <f t="shared" si="7"/>
        <v>0</v>
      </c>
      <c r="CF30" s="63">
        <f t="shared" si="5"/>
        <v>260330.3</v>
      </c>
      <c r="CG30" s="63">
        <f t="shared" si="6"/>
        <v>800803.59</v>
      </c>
      <c r="CH30" s="63">
        <f t="shared" si="24"/>
        <v>354</v>
      </c>
      <c r="CI30" s="63">
        <f t="shared" si="9"/>
        <v>0</v>
      </c>
      <c r="CJ30" s="63">
        <f t="shared" si="10"/>
        <v>0.45480516874807703</v>
      </c>
      <c r="CK30" s="63">
        <f t="shared" si="11"/>
        <v>1.39860791215351</v>
      </c>
      <c r="CL30" s="63">
        <f t="shared" si="25"/>
        <v>354</v>
      </c>
      <c r="CM30" s="63">
        <f t="shared" si="26"/>
        <v>6.1784655520599303</v>
      </c>
      <c r="CN30" s="63">
        <f t="shared" si="12"/>
        <v>0</v>
      </c>
      <c r="CO30" s="63">
        <f t="shared" si="13"/>
        <v>1.00543891812539</v>
      </c>
      <c r="CP30" s="63">
        <f t="shared" si="14"/>
        <v>0</v>
      </c>
      <c r="CQ30" s="63">
        <f t="shared" si="15"/>
        <v>0.45480516874807703</v>
      </c>
      <c r="CR30" s="63">
        <f t="shared" si="16"/>
        <v>0</v>
      </c>
      <c r="CS30" s="63">
        <f t="shared" si="17"/>
        <v>0.45480516874807703</v>
      </c>
      <c r="CT30" s="63">
        <f t="shared" si="18"/>
        <v>1.39860791215351</v>
      </c>
      <c r="CU30" s="63">
        <f t="shared" si="19"/>
        <v>9.3200582056497208</v>
      </c>
      <c r="CV30" s="63">
        <f t="shared" si="20"/>
        <v>26.058416670000021</v>
      </c>
      <c r="CW30" s="63">
        <f t="shared" si="21"/>
        <v>80.134330559999924</v>
      </c>
      <c r="CX30" s="63">
        <f t="shared" si="22"/>
        <v>260330.30001199999</v>
      </c>
      <c r="CY30" s="63">
        <f t="shared" si="23"/>
        <v>800803.59001599997</v>
      </c>
    </row>
    <row r="31" spans="1:103" x14ac:dyDescent="0.25">
      <c r="A31" s="67">
        <v>21</v>
      </c>
      <c r="B31" s="84"/>
      <c r="C31" s="84"/>
      <c r="D31" s="84"/>
      <c r="E31" s="84"/>
      <c r="F31" s="109" t="str">
        <f t="shared" si="27"/>
        <v/>
      </c>
      <c r="G31" s="81"/>
      <c r="H31" s="81"/>
      <c r="I31" s="85"/>
      <c r="J31" s="77" t="str">
        <f t="shared" si="28"/>
        <v/>
      </c>
      <c r="K31" s="77" t="str">
        <f t="shared" si="29"/>
        <v/>
      </c>
      <c r="L31" s="77" t="str">
        <f t="shared" si="30"/>
        <v/>
      </c>
      <c r="M31" s="79" t="str">
        <f t="shared" si="31"/>
        <v/>
      </c>
      <c r="N31" s="79" t="str">
        <f t="shared" si="32"/>
        <v/>
      </c>
      <c r="O31" s="79" t="str">
        <f t="shared" si="33"/>
        <v/>
      </c>
      <c r="P31" s="77" t="str">
        <f t="shared" si="34"/>
        <v/>
      </c>
      <c r="Q31" s="77" t="str">
        <f t="shared" si="35"/>
        <v/>
      </c>
      <c r="R31" s="77" t="str">
        <f t="shared" si="36"/>
        <v/>
      </c>
      <c r="S31" s="8"/>
      <c r="T31" s="74">
        <f t="shared" si="37"/>
        <v>-80.134330559999924</v>
      </c>
      <c r="U31" s="66">
        <f t="shared" si="38"/>
        <v>26.058416670000021</v>
      </c>
      <c r="V31" s="66">
        <f t="shared" si="39"/>
        <v>1.524</v>
      </c>
      <c r="W31" s="3" t="str">
        <f t="shared" si="40"/>
        <v/>
      </c>
      <c r="X31" s="3" t="str">
        <f t="shared" si="41"/>
        <v/>
      </c>
      <c r="Y31" s="3" t="str">
        <f ca="1">IF(Data!$O$47/2+4000&lt;W31,"Beyond",IF(Data!$O$47/2&gt;W31,"Behind","Inside"))</f>
        <v>Beyond</v>
      </c>
      <c r="Z31" s="20" t="e">
        <f ca="1">IF((TAN(Data!$AA$5*PI()/180)*W31)+(Data!$O$47/2)&lt;Data!$O$47/2,Data!$O$47/2,IF((TAN(Data!$AA$5*PI()/180)*W31)+(Data!$O$47/2)&gt;250,250,(TAN(Data!$AA$5*PI()/180)*W31)+(Data!$O$47/2)))</f>
        <v>#VALUE!</v>
      </c>
      <c r="AA31" s="3" t="str">
        <f t="shared" ca="1" si="42"/>
        <v>No</v>
      </c>
      <c r="AB31" s="20" t="e">
        <f ca="1">IF(((W31-(Data!$O$47/2))/8)&gt;0,((W31-(Data!$O$47/2))/8),0)</f>
        <v>#VALUE!</v>
      </c>
      <c r="AC31" s="20" t="e">
        <f t="shared" ca="1" si="43"/>
        <v>#VALUE!</v>
      </c>
      <c r="AD31" s="3" t="str">
        <f>IF(Data!$D$29="","",IF(AND($C31="",$D31="",$E31="",$G31="",$H31="",$I31=""),"",IF(AND(Y31="Inside",AA31="Yes",AC31&gt;0),"Yes - "&amp;ROUND(AC31,2)&amp;" ft","No")))</f>
        <v/>
      </c>
      <c r="AE31" s="3" t="str">
        <f ca="1">IF(Data!$O$47/2+2000&lt;W31,"Beyond",IF(Data!$O$47/2&gt;W31,"Behind","Inside"))</f>
        <v>Beyond</v>
      </c>
      <c r="AF31" s="20" t="e">
        <f ca="1">(TAN(Data!$AA$12*PI()/180)*W31)+(Data!$O$47/2)</f>
        <v>#VALUE!</v>
      </c>
      <c r="AG31" s="3" t="e">
        <f t="shared" ca="1" si="44"/>
        <v>#VALUE!</v>
      </c>
      <c r="AH31" s="20" t="e">
        <f t="shared" ca="1" si="45"/>
        <v>#VALUE!</v>
      </c>
      <c r="AI31" s="20" t="e">
        <f t="shared" ca="1" si="46"/>
        <v>#VALUE!</v>
      </c>
      <c r="AJ31" s="3" t="str">
        <f>IF(Data!$D$29="","",IF(AND($C31="",$D31="",$E31="",$G31="",$H31="",$I31=""),"",IF(AND(AE31="Inside",AG31="Yes",AI31&gt;0),"Yes - "&amp;ROUND(AI31,2)&amp;" ft","No")))</f>
        <v/>
      </c>
      <c r="AK31" s="3" t="str">
        <f ca="1">IF(0-Data!$O$47/2&gt;W31,"Behind",IF(Data!$O$47/2+4000&lt;W31,"Beyond","Inside"))</f>
        <v>Beyond</v>
      </c>
      <c r="AL31" s="3" t="e">
        <f t="shared" ca="1" si="47"/>
        <v>#VALUE!</v>
      </c>
      <c r="AM31" s="20" t="e">
        <f t="shared" ca="1" si="48"/>
        <v>#VALUE!</v>
      </c>
      <c r="AN31" s="20" t="e">
        <f t="shared" ca="1" si="49"/>
        <v>#VALUE!</v>
      </c>
      <c r="AO31" s="3" t="str">
        <f>IF(Data!$D$29="","",IF(AND($C31="",$D31="",$E31="",$G31="",$H31="",$I31=""),"",IF(AND(AK31="Inside",AL31="Yes",AN31&gt;0),"Yes - "&amp;ROUND(AN31,2)&amp;" ft","No")))</f>
        <v/>
      </c>
      <c r="AP31" s="72" t="str">
        <f t="shared" si="50"/>
        <v/>
      </c>
      <c r="AQ31" s="72" t="str">
        <f t="shared" si="51"/>
        <v/>
      </c>
      <c r="AR31" s="72" t="str">
        <f ca="1">IF(Data!$O$47/2+4000&lt;AP31,"Beyond",IF(Data!$O$47/2&gt;AP31,"Behind","Inside"))</f>
        <v>Beyond</v>
      </c>
      <c r="AS31" s="72" t="e">
        <f ca="1">IF((TAN(Data!$AA$5*PI()/180)*AP31)+(Data!$O$47/2)&lt;Data!$O$47/2,Data!$O$47/2,IF((TAN(Data!$AA$5*PI()/180)*AP31)+(Data!$O$47/2)&gt;250,250,(TAN(Data!$AA$5*PI()/180)*AP31)+(Data!$O$47/2)))</f>
        <v>#VALUE!</v>
      </c>
      <c r="AT31" s="72" t="str">
        <f t="shared" ca="1" si="52"/>
        <v>No</v>
      </c>
      <c r="AU31" s="72" t="e">
        <f ca="1">IF(((AP31-(Data!$O$47/2))/8)&gt;0,((AP31-(Data!$O$47/2))/8),0)</f>
        <v>#VALUE!</v>
      </c>
      <c r="AV31" s="72" t="e">
        <f t="shared" ca="1" si="53"/>
        <v>#VALUE!</v>
      </c>
      <c r="AW31" s="72" t="str">
        <f>IF(Data!$D$30="","",IF(AND($C31="",$D31="",$E31="",$G31="",$H31="",$I31=""),"",IF(AND(AR31="Inside",AT31="Yes",AV31&gt;0),"Yes - "&amp;ROUND(AV31,2)&amp;" ft","No")))</f>
        <v/>
      </c>
      <c r="AX31" s="72" t="str">
        <f ca="1">IF(Data!$O$47/2+2000&lt;AP31,"Beyond",IF(Data!$O$47/2&gt;AP31,"Behind","Inside"))</f>
        <v>Beyond</v>
      </c>
      <c r="AY31" s="72" t="e">
        <f ca="1">(TAN(Data!$AA$12*PI()/180)*AP31)+(Data!$O$47/2)</f>
        <v>#VALUE!</v>
      </c>
      <c r="AZ31" s="72" t="e">
        <f t="shared" ca="1" si="54"/>
        <v>#VALUE!</v>
      </c>
      <c r="BA31" s="72" t="e">
        <f t="shared" ca="1" si="55"/>
        <v>#VALUE!</v>
      </c>
      <c r="BB31" s="72" t="e">
        <f t="shared" ca="1" si="56"/>
        <v>#VALUE!</v>
      </c>
      <c r="BC31" s="72" t="str">
        <f>IF(Data!$D$30="","",IF(AND($C31="",$D31="",$E31="",$G31="",$H31="",$I31=""),"",IF(AND(AX31="Inside",AZ31="Yes",BB31&gt;0),"Yes - "&amp;ROUND(BB31,2)&amp;" ft","No")))</f>
        <v/>
      </c>
      <c r="BD31" s="72" t="str">
        <f ca="1">IF(0-Data!$O$47/2&gt;AP31,"Behind",IF(Data!$O$47/2+4000&lt;AP31,"Beyond","Inside"))</f>
        <v>Beyond</v>
      </c>
      <c r="BE31" s="72" t="e">
        <f t="shared" ca="1" si="57"/>
        <v>#VALUE!</v>
      </c>
      <c r="BF31" s="72" t="e">
        <f t="shared" ca="1" si="58"/>
        <v>#VALUE!</v>
      </c>
      <c r="BG31" s="72" t="e">
        <f t="shared" ca="1" si="59"/>
        <v>#VALUE!</v>
      </c>
      <c r="BH31" s="72" t="str">
        <f>IF(Data!$D$30="","",IF(AND($C31="",$D31="",$E31="",$G31="",$H31="",$I31=""),"",IF(AND(BD31="Inside",BE31="Yes",BG31&gt;0),"Yes - "&amp;ROUND(BG31,2)&amp;" ft","No")))</f>
        <v/>
      </c>
      <c r="BI31" s="3" t="str">
        <f t="shared" si="60"/>
        <v/>
      </c>
      <c r="BJ31" s="3" t="str">
        <f t="shared" si="61"/>
        <v/>
      </c>
      <c r="BK31" s="3" t="str">
        <f ca="1">IF(Data!$O$47/2+4000&lt;BI31,"Beyond",IF(Data!$O$47/2&gt;BI31,"Behind","Inside"))</f>
        <v>Beyond</v>
      </c>
      <c r="BL31" s="20" t="e">
        <f ca="1">IF((TAN(Data!$AA$5*PI()/180)*BI31)+(Data!$O$47/2)&lt;Data!$O$47/2,Data!$O$47/2,IF((TAN(Data!$AA$5*PI()/180)*BI31)+(Data!$O$47/2)&gt;250,250,(TAN(Data!$AA$5*PI()/180)*BI31)+(Data!$O$47/2)))</f>
        <v>#VALUE!</v>
      </c>
      <c r="BM31" s="3" t="str">
        <f t="shared" ca="1" si="62"/>
        <v>No</v>
      </c>
      <c r="BN31" s="20" t="e">
        <f ca="1">IF(((BI31-(Data!$O$47/2))/8)&gt;0,((BI31-(Data!$O$47/2))/8),0)</f>
        <v>#VALUE!</v>
      </c>
      <c r="BO31" s="20" t="e">
        <f t="shared" ca="1" si="63"/>
        <v>#VALUE!</v>
      </c>
      <c r="BP31" s="3" t="str">
        <f>IF(Data!$D$31="","",IF(AND($C31="",$D31="",$E31="",$G31="",$H31="",$I31=""),"",IF(AND(BK31="Inside",BM31="Yes",BO31&gt;0),"Yes - "&amp;ROUND(BO31,2)&amp;" ft","No")))</f>
        <v/>
      </c>
      <c r="BQ31" s="3" t="str">
        <f ca="1">IF(Data!$O$47/2+2000&lt;BI31,"Beyond",IF(Data!$O$47/2&gt;BI31,"Behind","Inside"))</f>
        <v>Beyond</v>
      </c>
      <c r="BR31" s="20" t="e">
        <f ca="1">(TAN(Data!$AA$12*PI()/180)*BI31)+(Data!$O$47/2)</f>
        <v>#VALUE!</v>
      </c>
      <c r="BS31" s="3" t="e">
        <f t="shared" ca="1" si="64"/>
        <v>#VALUE!</v>
      </c>
      <c r="BT31" s="20" t="e">
        <f t="shared" ca="1" si="65"/>
        <v>#VALUE!</v>
      </c>
      <c r="BU31" s="20" t="e">
        <f t="shared" ca="1" si="66"/>
        <v>#VALUE!</v>
      </c>
      <c r="BV31" s="3" t="str">
        <f>IF(Data!$D$31="","",IF(AND($C31="",$D31="",$E31="",$G31="",$H31="",$I31=""),"",IF(AND(BQ31="Inside",BS31="Yes",BU31&gt;0),"Yes - "&amp;ROUND(BU31,2)&amp;" ft","No")))</f>
        <v/>
      </c>
      <c r="BW31" s="3" t="str">
        <f ca="1">IF(0-Data!$O$47/2&gt;BI31,"Behind",IF(Data!$O$47/2+4000&lt;BI31,"Beyond","Inside"))</f>
        <v>Beyond</v>
      </c>
      <c r="BX31" s="3" t="e">
        <f t="shared" ca="1" si="67"/>
        <v>#VALUE!</v>
      </c>
      <c r="BY31" s="20" t="e">
        <f t="shared" ca="1" si="68"/>
        <v>#VALUE!</v>
      </c>
      <c r="BZ31" s="20" t="e">
        <f t="shared" ca="1" si="69"/>
        <v>#VALUE!</v>
      </c>
      <c r="CA31" s="3" t="str">
        <f>IF(Data!$D$31="","",IF(AND($C31="",$D31="",$E31="",$G31="",$H31="",$I31=""),"",IF(AND(BW31="Inside",BX31="Yes",BZ31&gt;0),"Yes - "&amp;ROUND(BZ31,2)&amp;" ft","No")))</f>
        <v/>
      </c>
      <c r="CB31" s="9"/>
      <c r="CC31" t="str">
        <f t="shared" si="70"/>
        <v>No</v>
      </c>
      <c r="CD31" s="62" t="s">
        <v>537</v>
      </c>
      <c r="CE31" s="63">
        <f t="shared" si="7"/>
        <v>0</v>
      </c>
      <c r="CF31" s="63">
        <f t="shared" si="5"/>
        <v>260330.3</v>
      </c>
      <c r="CG31" s="63">
        <f t="shared" si="6"/>
        <v>800803.59</v>
      </c>
      <c r="CH31" s="63">
        <f t="shared" si="24"/>
        <v>354</v>
      </c>
      <c r="CI31" s="63">
        <f t="shared" si="9"/>
        <v>0</v>
      </c>
      <c r="CJ31" s="63">
        <f t="shared" si="10"/>
        <v>0.45480516874807703</v>
      </c>
      <c r="CK31" s="63">
        <f t="shared" si="11"/>
        <v>1.39860791215351</v>
      </c>
      <c r="CL31" s="63">
        <f t="shared" si="25"/>
        <v>354</v>
      </c>
      <c r="CM31" s="63">
        <f t="shared" si="26"/>
        <v>6.1784655520599303</v>
      </c>
      <c r="CN31" s="63">
        <f t="shared" si="12"/>
        <v>0</v>
      </c>
      <c r="CO31" s="63">
        <f t="shared" si="13"/>
        <v>1.00543891812539</v>
      </c>
      <c r="CP31" s="63">
        <f t="shared" si="14"/>
        <v>0</v>
      </c>
      <c r="CQ31" s="63">
        <f t="shared" si="15"/>
        <v>0.45480516874807703</v>
      </c>
      <c r="CR31" s="63">
        <f t="shared" si="16"/>
        <v>0</v>
      </c>
      <c r="CS31" s="63">
        <f t="shared" si="17"/>
        <v>0.45480516874807703</v>
      </c>
      <c r="CT31" s="63">
        <f t="shared" si="18"/>
        <v>1.39860791215351</v>
      </c>
      <c r="CU31" s="63">
        <f t="shared" si="19"/>
        <v>9.3200582056497208</v>
      </c>
      <c r="CV31" s="63">
        <f t="shared" si="20"/>
        <v>26.058416670000021</v>
      </c>
      <c r="CW31" s="63">
        <f t="shared" si="21"/>
        <v>80.134330559999924</v>
      </c>
      <c r="CX31" s="63">
        <f t="shared" si="22"/>
        <v>260330.30001199999</v>
      </c>
      <c r="CY31" s="63">
        <f t="shared" si="23"/>
        <v>800803.59001599997</v>
      </c>
    </row>
    <row r="32" spans="1:103" x14ac:dyDescent="0.25">
      <c r="A32" s="67">
        <v>22</v>
      </c>
      <c r="B32" s="84"/>
      <c r="C32" s="84"/>
      <c r="D32" s="84"/>
      <c r="E32" s="84"/>
      <c r="F32" s="109" t="str">
        <f t="shared" si="27"/>
        <v/>
      </c>
      <c r="G32" s="81"/>
      <c r="H32" s="81"/>
      <c r="I32" s="85"/>
      <c r="J32" s="77" t="str">
        <f t="shared" si="28"/>
        <v/>
      </c>
      <c r="K32" s="77" t="str">
        <f t="shared" si="29"/>
        <v/>
      </c>
      <c r="L32" s="77" t="str">
        <f t="shared" si="30"/>
        <v/>
      </c>
      <c r="M32" s="79" t="str">
        <f t="shared" si="31"/>
        <v/>
      </c>
      <c r="N32" s="79" t="str">
        <f t="shared" si="32"/>
        <v/>
      </c>
      <c r="O32" s="79" t="str">
        <f t="shared" si="33"/>
        <v/>
      </c>
      <c r="P32" s="77" t="str">
        <f t="shared" si="34"/>
        <v/>
      </c>
      <c r="Q32" s="77" t="str">
        <f t="shared" si="35"/>
        <v/>
      </c>
      <c r="R32" s="77" t="str">
        <f t="shared" si="36"/>
        <v/>
      </c>
      <c r="S32" s="8"/>
      <c r="T32" s="74">
        <f t="shared" si="37"/>
        <v>-80.134330559999924</v>
      </c>
      <c r="U32" s="66">
        <f t="shared" si="38"/>
        <v>26.058416670000021</v>
      </c>
      <c r="V32" s="66">
        <f t="shared" si="39"/>
        <v>1.524</v>
      </c>
      <c r="W32" s="3" t="str">
        <f t="shared" si="40"/>
        <v/>
      </c>
      <c r="X32" s="3" t="str">
        <f t="shared" si="41"/>
        <v/>
      </c>
      <c r="Y32" s="3" t="str">
        <f ca="1">IF(Data!$O$47/2+4000&lt;W32,"Beyond",IF(Data!$O$47/2&gt;W32,"Behind","Inside"))</f>
        <v>Beyond</v>
      </c>
      <c r="Z32" s="20" t="e">
        <f ca="1">IF((TAN(Data!$AA$5*PI()/180)*W32)+(Data!$O$47/2)&lt;Data!$O$47/2,Data!$O$47/2,IF((TAN(Data!$AA$5*PI()/180)*W32)+(Data!$O$47/2)&gt;250,250,(TAN(Data!$AA$5*PI()/180)*W32)+(Data!$O$47/2)))</f>
        <v>#VALUE!</v>
      </c>
      <c r="AA32" s="3" t="str">
        <f t="shared" ca="1" si="42"/>
        <v>No</v>
      </c>
      <c r="AB32" s="20" t="e">
        <f ca="1">IF(((W32-(Data!$O$47/2))/8)&gt;0,((W32-(Data!$O$47/2))/8),0)</f>
        <v>#VALUE!</v>
      </c>
      <c r="AC32" s="20" t="e">
        <f t="shared" ca="1" si="43"/>
        <v>#VALUE!</v>
      </c>
      <c r="AD32" s="3" t="str">
        <f>IF(Data!$D$29="","",IF(AND($C32="",$D32="",$E32="",$G32="",$H32="",$I32=""),"",IF(AND(Y32="Inside",AA32="Yes",AC32&gt;0),"Yes - "&amp;ROUND(AC32,2)&amp;" ft","No")))</f>
        <v/>
      </c>
      <c r="AE32" s="3" t="str">
        <f ca="1">IF(Data!$O$47/2+2000&lt;W32,"Beyond",IF(Data!$O$47/2&gt;W32,"Behind","Inside"))</f>
        <v>Beyond</v>
      </c>
      <c r="AF32" s="20" t="e">
        <f ca="1">(TAN(Data!$AA$12*PI()/180)*W32)+(Data!$O$47/2)</f>
        <v>#VALUE!</v>
      </c>
      <c r="AG32" s="3" t="e">
        <f t="shared" ca="1" si="44"/>
        <v>#VALUE!</v>
      </c>
      <c r="AH32" s="20" t="e">
        <f t="shared" ca="1" si="45"/>
        <v>#VALUE!</v>
      </c>
      <c r="AI32" s="20" t="e">
        <f t="shared" ca="1" si="46"/>
        <v>#VALUE!</v>
      </c>
      <c r="AJ32" s="3" t="str">
        <f>IF(Data!$D$29="","",IF(AND($C32="",$D32="",$E32="",$G32="",$H32="",$I32=""),"",IF(AND(AE32="Inside",AG32="Yes",AI32&gt;0),"Yes - "&amp;ROUND(AI32,2)&amp;" ft","No")))</f>
        <v/>
      </c>
      <c r="AK32" s="3" t="str">
        <f ca="1">IF(0-Data!$O$47/2&gt;W32,"Behind",IF(Data!$O$47/2+4000&lt;W32,"Beyond","Inside"))</f>
        <v>Beyond</v>
      </c>
      <c r="AL32" s="3" t="e">
        <f t="shared" ca="1" si="47"/>
        <v>#VALUE!</v>
      </c>
      <c r="AM32" s="20" t="e">
        <f t="shared" ca="1" si="48"/>
        <v>#VALUE!</v>
      </c>
      <c r="AN32" s="20" t="e">
        <f t="shared" ca="1" si="49"/>
        <v>#VALUE!</v>
      </c>
      <c r="AO32" s="3" t="str">
        <f>IF(Data!$D$29="","",IF(AND($C32="",$D32="",$E32="",$G32="",$H32="",$I32=""),"",IF(AND(AK32="Inside",AL32="Yes",AN32&gt;0),"Yes - "&amp;ROUND(AN32,2)&amp;" ft","No")))</f>
        <v/>
      </c>
      <c r="AP32" s="72" t="str">
        <f t="shared" si="50"/>
        <v/>
      </c>
      <c r="AQ32" s="72" t="str">
        <f t="shared" si="51"/>
        <v/>
      </c>
      <c r="AR32" s="72" t="str">
        <f ca="1">IF(Data!$O$47/2+4000&lt;AP32,"Beyond",IF(Data!$O$47/2&gt;AP32,"Behind","Inside"))</f>
        <v>Beyond</v>
      </c>
      <c r="AS32" s="72" t="e">
        <f ca="1">IF((TAN(Data!$AA$5*PI()/180)*AP32)+(Data!$O$47/2)&lt;Data!$O$47/2,Data!$O$47/2,IF((TAN(Data!$AA$5*PI()/180)*AP32)+(Data!$O$47/2)&gt;250,250,(TAN(Data!$AA$5*PI()/180)*AP32)+(Data!$O$47/2)))</f>
        <v>#VALUE!</v>
      </c>
      <c r="AT32" s="72" t="str">
        <f t="shared" ca="1" si="52"/>
        <v>No</v>
      </c>
      <c r="AU32" s="72" t="e">
        <f ca="1">IF(((AP32-(Data!$O$47/2))/8)&gt;0,((AP32-(Data!$O$47/2))/8),0)</f>
        <v>#VALUE!</v>
      </c>
      <c r="AV32" s="72" t="e">
        <f t="shared" ca="1" si="53"/>
        <v>#VALUE!</v>
      </c>
      <c r="AW32" s="72" t="str">
        <f>IF(Data!$D$30="","",IF(AND($C32="",$D32="",$E32="",$G32="",$H32="",$I32=""),"",IF(AND(AR32="Inside",AT32="Yes",AV32&gt;0),"Yes - "&amp;ROUND(AV32,2)&amp;" ft","No")))</f>
        <v/>
      </c>
      <c r="AX32" s="72" t="str">
        <f ca="1">IF(Data!$O$47/2+2000&lt;AP32,"Beyond",IF(Data!$O$47/2&gt;AP32,"Behind","Inside"))</f>
        <v>Beyond</v>
      </c>
      <c r="AY32" s="72" t="e">
        <f ca="1">(TAN(Data!$AA$12*PI()/180)*AP32)+(Data!$O$47/2)</f>
        <v>#VALUE!</v>
      </c>
      <c r="AZ32" s="72" t="e">
        <f t="shared" ca="1" si="54"/>
        <v>#VALUE!</v>
      </c>
      <c r="BA32" s="72" t="e">
        <f t="shared" ca="1" si="55"/>
        <v>#VALUE!</v>
      </c>
      <c r="BB32" s="72" t="e">
        <f t="shared" ca="1" si="56"/>
        <v>#VALUE!</v>
      </c>
      <c r="BC32" s="72" t="str">
        <f>IF(Data!$D$30="","",IF(AND($C32="",$D32="",$E32="",$G32="",$H32="",$I32=""),"",IF(AND(AX32="Inside",AZ32="Yes",BB32&gt;0),"Yes - "&amp;ROUND(BB32,2)&amp;" ft","No")))</f>
        <v/>
      </c>
      <c r="BD32" s="72" t="str">
        <f ca="1">IF(0-Data!$O$47/2&gt;AP32,"Behind",IF(Data!$O$47/2+4000&lt;AP32,"Beyond","Inside"))</f>
        <v>Beyond</v>
      </c>
      <c r="BE32" s="72" t="e">
        <f t="shared" ca="1" si="57"/>
        <v>#VALUE!</v>
      </c>
      <c r="BF32" s="72" t="e">
        <f t="shared" ca="1" si="58"/>
        <v>#VALUE!</v>
      </c>
      <c r="BG32" s="72" t="e">
        <f t="shared" ca="1" si="59"/>
        <v>#VALUE!</v>
      </c>
      <c r="BH32" s="72" t="str">
        <f>IF(Data!$D$30="","",IF(AND($C32="",$D32="",$E32="",$G32="",$H32="",$I32=""),"",IF(AND(BD32="Inside",BE32="Yes",BG32&gt;0),"Yes - "&amp;ROUND(BG32,2)&amp;" ft","No")))</f>
        <v/>
      </c>
      <c r="BI32" s="3" t="str">
        <f t="shared" si="60"/>
        <v/>
      </c>
      <c r="BJ32" s="3" t="str">
        <f t="shared" si="61"/>
        <v/>
      </c>
      <c r="BK32" s="3" t="str">
        <f ca="1">IF(Data!$O$47/2+4000&lt;BI32,"Beyond",IF(Data!$O$47/2&gt;BI32,"Behind","Inside"))</f>
        <v>Beyond</v>
      </c>
      <c r="BL32" s="20" t="e">
        <f ca="1">IF((TAN(Data!$AA$5*PI()/180)*BI32)+(Data!$O$47/2)&lt;Data!$O$47/2,Data!$O$47/2,IF((TAN(Data!$AA$5*PI()/180)*BI32)+(Data!$O$47/2)&gt;250,250,(TAN(Data!$AA$5*PI()/180)*BI32)+(Data!$O$47/2)))</f>
        <v>#VALUE!</v>
      </c>
      <c r="BM32" s="3" t="str">
        <f t="shared" ca="1" si="62"/>
        <v>No</v>
      </c>
      <c r="BN32" s="20" t="e">
        <f ca="1">IF(((BI32-(Data!$O$47/2))/8)&gt;0,((BI32-(Data!$O$47/2))/8),0)</f>
        <v>#VALUE!</v>
      </c>
      <c r="BO32" s="20" t="e">
        <f t="shared" ca="1" si="63"/>
        <v>#VALUE!</v>
      </c>
      <c r="BP32" s="3" t="str">
        <f>IF(Data!$D$31="","",IF(AND($C32="",$D32="",$E32="",$G32="",$H32="",$I32=""),"",IF(AND(BK32="Inside",BM32="Yes",BO32&gt;0),"Yes - "&amp;ROUND(BO32,2)&amp;" ft","No")))</f>
        <v/>
      </c>
      <c r="BQ32" s="3" t="str">
        <f ca="1">IF(Data!$O$47/2+2000&lt;BI32,"Beyond",IF(Data!$O$47/2&gt;BI32,"Behind","Inside"))</f>
        <v>Beyond</v>
      </c>
      <c r="BR32" s="20" t="e">
        <f ca="1">(TAN(Data!$AA$12*PI()/180)*BI32)+(Data!$O$47/2)</f>
        <v>#VALUE!</v>
      </c>
      <c r="BS32" s="3" t="e">
        <f t="shared" ca="1" si="64"/>
        <v>#VALUE!</v>
      </c>
      <c r="BT32" s="20" t="e">
        <f t="shared" ca="1" si="65"/>
        <v>#VALUE!</v>
      </c>
      <c r="BU32" s="20" t="e">
        <f t="shared" ca="1" si="66"/>
        <v>#VALUE!</v>
      </c>
      <c r="BV32" s="3" t="str">
        <f>IF(Data!$D$31="","",IF(AND($C32="",$D32="",$E32="",$G32="",$H32="",$I32=""),"",IF(AND(BQ32="Inside",BS32="Yes",BU32&gt;0),"Yes - "&amp;ROUND(BU32,2)&amp;" ft","No")))</f>
        <v/>
      </c>
      <c r="BW32" s="3" t="str">
        <f ca="1">IF(0-Data!$O$47/2&gt;BI32,"Behind",IF(Data!$O$47/2+4000&lt;BI32,"Beyond","Inside"))</f>
        <v>Beyond</v>
      </c>
      <c r="BX32" s="3" t="e">
        <f t="shared" ca="1" si="67"/>
        <v>#VALUE!</v>
      </c>
      <c r="BY32" s="20" t="e">
        <f t="shared" ca="1" si="68"/>
        <v>#VALUE!</v>
      </c>
      <c r="BZ32" s="20" t="e">
        <f t="shared" ca="1" si="69"/>
        <v>#VALUE!</v>
      </c>
      <c r="CA32" s="3" t="str">
        <f>IF(Data!$D$31="","",IF(AND($C32="",$D32="",$E32="",$G32="",$H32="",$I32=""),"",IF(AND(BW32="Inside",BX32="Yes",BZ32&gt;0),"Yes - "&amp;ROUND(BZ32,2)&amp;" ft","No")))</f>
        <v/>
      </c>
      <c r="CB32" s="9"/>
      <c r="CC32" t="str">
        <f t="shared" si="70"/>
        <v>No</v>
      </c>
      <c r="CD32" s="62" t="s">
        <v>538</v>
      </c>
      <c r="CE32" s="63">
        <f t="shared" si="7"/>
        <v>0</v>
      </c>
      <c r="CF32" s="63">
        <f t="shared" si="5"/>
        <v>260330.3</v>
      </c>
      <c r="CG32" s="63">
        <f t="shared" si="6"/>
        <v>800803.59</v>
      </c>
      <c r="CH32" s="63">
        <f t="shared" si="24"/>
        <v>354</v>
      </c>
      <c r="CI32" s="63">
        <f t="shared" si="9"/>
        <v>0</v>
      </c>
      <c r="CJ32" s="63">
        <f t="shared" si="10"/>
        <v>0.45480516874807703</v>
      </c>
      <c r="CK32" s="63">
        <f t="shared" si="11"/>
        <v>1.39860791215351</v>
      </c>
      <c r="CL32" s="63">
        <f t="shared" si="25"/>
        <v>354</v>
      </c>
      <c r="CM32" s="63">
        <f t="shared" si="26"/>
        <v>6.1784655520599303</v>
      </c>
      <c r="CN32" s="63">
        <f t="shared" si="12"/>
        <v>0</v>
      </c>
      <c r="CO32" s="63">
        <f t="shared" si="13"/>
        <v>1.00543891812539</v>
      </c>
      <c r="CP32" s="63">
        <f t="shared" si="14"/>
        <v>0</v>
      </c>
      <c r="CQ32" s="63">
        <f t="shared" si="15"/>
        <v>0.45480516874807703</v>
      </c>
      <c r="CR32" s="63">
        <f t="shared" si="16"/>
        <v>0</v>
      </c>
      <c r="CS32" s="63">
        <f t="shared" si="17"/>
        <v>0.45480516874807703</v>
      </c>
      <c r="CT32" s="63">
        <f t="shared" si="18"/>
        <v>1.39860791215351</v>
      </c>
      <c r="CU32" s="63">
        <f t="shared" si="19"/>
        <v>9.3200582056497208</v>
      </c>
      <c r="CV32" s="63">
        <f t="shared" si="20"/>
        <v>26.058416670000021</v>
      </c>
      <c r="CW32" s="63">
        <f t="shared" si="21"/>
        <v>80.134330559999924</v>
      </c>
      <c r="CX32" s="63">
        <f t="shared" si="22"/>
        <v>260330.30001199999</v>
      </c>
      <c r="CY32" s="63">
        <f t="shared" si="23"/>
        <v>800803.59001599997</v>
      </c>
    </row>
    <row r="33" spans="1:103" x14ac:dyDescent="0.25">
      <c r="A33" s="67">
        <v>23</v>
      </c>
      <c r="B33" s="84"/>
      <c r="C33" s="84"/>
      <c r="D33" s="84"/>
      <c r="E33" s="84"/>
      <c r="F33" s="109" t="str">
        <f t="shared" si="27"/>
        <v/>
      </c>
      <c r="G33" s="81"/>
      <c r="H33" s="81"/>
      <c r="I33" s="85"/>
      <c r="J33" s="77" t="str">
        <f t="shared" si="28"/>
        <v/>
      </c>
      <c r="K33" s="77" t="str">
        <f t="shared" si="29"/>
        <v/>
      </c>
      <c r="L33" s="77" t="str">
        <f t="shared" si="30"/>
        <v/>
      </c>
      <c r="M33" s="79" t="str">
        <f t="shared" si="31"/>
        <v/>
      </c>
      <c r="N33" s="79" t="str">
        <f t="shared" si="32"/>
        <v/>
      </c>
      <c r="O33" s="79" t="str">
        <f t="shared" si="33"/>
        <v/>
      </c>
      <c r="P33" s="77" t="str">
        <f t="shared" si="34"/>
        <v/>
      </c>
      <c r="Q33" s="77" t="str">
        <f t="shared" si="35"/>
        <v/>
      </c>
      <c r="R33" s="77" t="str">
        <f t="shared" si="36"/>
        <v/>
      </c>
      <c r="S33" s="8"/>
      <c r="T33" s="74">
        <f t="shared" si="37"/>
        <v>-80.134330559999924</v>
      </c>
      <c r="U33" s="66">
        <f t="shared" si="38"/>
        <v>26.058416670000021</v>
      </c>
      <c r="V33" s="66">
        <f t="shared" si="39"/>
        <v>1.524</v>
      </c>
      <c r="W33" s="3" t="str">
        <f t="shared" si="40"/>
        <v/>
      </c>
      <c r="X33" s="3" t="str">
        <f t="shared" si="41"/>
        <v/>
      </c>
      <c r="Y33" s="3" t="str">
        <f ca="1">IF(Data!$O$47/2+4000&lt;W33,"Beyond",IF(Data!$O$47/2&gt;W33,"Behind","Inside"))</f>
        <v>Beyond</v>
      </c>
      <c r="Z33" s="20" t="e">
        <f ca="1">IF((TAN(Data!$AA$5*PI()/180)*W33)+(Data!$O$47/2)&lt;Data!$O$47/2,Data!$O$47/2,IF((TAN(Data!$AA$5*PI()/180)*W33)+(Data!$O$47/2)&gt;250,250,(TAN(Data!$AA$5*PI()/180)*W33)+(Data!$O$47/2)))</f>
        <v>#VALUE!</v>
      </c>
      <c r="AA33" s="3" t="str">
        <f t="shared" ca="1" si="42"/>
        <v>No</v>
      </c>
      <c r="AB33" s="20" t="e">
        <f ca="1">IF(((W33-(Data!$O$47/2))/8)&gt;0,((W33-(Data!$O$47/2))/8),0)</f>
        <v>#VALUE!</v>
      </c>
      <c r="AC33" s="20" t="e">
        <f t="shared" ca="1" si="43"/>
        <v>#VALUE!</v>
      </c>
      <c r="AD33" s="3" t="str">
        <f>IF(Data!$D$29="","",IF(AND($C33="",$D33="",$E33="",$G33="",$H33="",$I33=""),"",IF(AND(Y33="Inside",AA33="Yes",AC33&gt;0),"Yes - "&amp;ROUND(AC33,2)&amp;" ft","No")))</f>
        <v/>
      </c>
      <c r="AE33" s="3" t="str">
        <f ca="1">IF(Data!$O$47/2+2000&lt;W33,"Beyond",IF(Data!$O$47/2&gt;W33,"Behind","Inside"))</f>
        <v>Beyond</v>
      </c>
      <c r="AF33" s="20" t="e">
        <f ca="1">(TAN(Data!$AA$12*PI()/180)*W33)+(Data!$O$47/2)</f>
        <v>#VALUE!</v>
      </c>
      <c r="AG33" s="3" t="e">
        <f t="shared" ca="1" si="44"/>
        <v>#VALUE!</v>
      </c>
      <c r="AH33" s="20" t="e">
        <f t="shared" ca="1" si="45"/>
        <v>#VALUE!</v>
      </c>
      <c r="AI33" s="20" t="e">
        <f t="shared" ca="1" si="46"/>
        <v>#VALUE!</v>
      </c>
      <c r="AJ33" s="3" t="str">
        <f>IF(Data!$D$29="","",IF(AND($C33="",$D33="",$E33="",$G33="",$H33="",$I33=""),"",IF(AND(AE33="Inside",AG33="Yes",AI33&gt;0),"Yes - "&amp;ROUND(AI33,2)&amp;" ft","No")))</f>
        <v/>
      </c>
      <c r="AK33" s="3" t="str">
        <f ca="1">IF(0-Data!$O$47/2&gt;W33,"Behind",IF(Data!$O$47/2+4000&lt;W33,"Beyond","Inside"))</f>
        <v>Beyond</v>
      </c>
      <c r="AL33" s="3" t="e">
        <f t="shared" ca="1" si="47"/>
        <v>#VALUE!</v>
      </c>
      <c r="AM33" s="20" t="e">
        <f t="shared" ca="1" si="48"/>
        <v>#VALUE!</v>
      </c>
      <c r="AN33" s="20" t="e">
        <f t="shared" ca="1" si="49"/>
        <v>#VALUE!</v>
      </c>
      <c r="AO33" s="3" t="str">
        <f>IF(Data!$D$29="","",IF(AND($C33="",$D33="",$E33="",$G33="",$H33="",$I33=""),"",IF(AND(AK33="Inside",AL33="Yes",AN33&gt;0),"Yes - "&amp;ROUND(AN33,2)&amp;" ft","No")))</f>
        <v/>
      </c>
      <c r="AP33" s="72" t="str">
        <f t="shared" si="50"/>
        <v/>
      </c>
      <c r="AQ33" s="72" t="str">
        <f t="shared" si="51"/>
        <v/>
      </c>
      <c r="AR33" s="72" t="str">
        <f ca="1">IF(Data!$O$47/2+4000&lt;AP33,"Beyond",IF(Data!$O$47/2&gt;AP33,"Behind","Inside"))</f>
        <v>Beyond</v>
      </c>
      <c r="AS33" s="72" t="e">
        <f ca="1">IF((TAN(Data!$AA$5*PI()/180)*AP33)+(Data!$O$47/2)&lt;Data!$O$47/2,Data!$O$47/2,IF((TAN(Data!$AA$5*PI()/180)*AP33)+(Data!$O$47/2)&gt;250,250,(TAN(Data!$AA$5*PI()/180)*AP33)+(Data!$O$47/2)))</f>
        <v>#VALUE!</v>
      </c>
      <c r="AT33" s="72" t="str">
        <f t="shared" ca="1" si="52"/>
        <v>No</v>
      </c>
      <c r="AU33" s="72" t="e">
        <f ca="1">IF(((AP33-(Data!$O$47/2))/8)&gt;0,((AP33-(Data!$O$47/2))/8),0)</f>
        <v>#VALUE!</v>
      </c>
      <c r="AV33" s="72" t="e">
        <f t="shared" ca="1" si="53"/>
        <v>#VALUE!</v>
      </c>
      <c r="AW33" s="72" t="str">
        <f>IF(Data!$D$30="","",IF(AND($C33="",$D33="",$E33="",$G33="",$H33="",$I33=""),"",IF(AND(AR33="Inside",AT33="Yes",AV33&gt;0),"Yes - "&amp;ROUND(AV33,2)&amp;" ft","No")))</f>
        <v/>
      </c>
      <c r="AX33" s="72" t="str">
        <f ca="1">IF(Data!$O$47/2+2000&lt;AP33,"Beyond",IF(Data!$O$47/2&gt;AP33,"Behind","Inside"))</f>
        <v>Beyond</v>
      </c>
      <c r="AY33" s="72" t="e">
        <f ca="1">(TAN(Data!$AA$12*PI()/180)*AP33)+(Data!$O$47/2)</f>
        <v>#VALUE!</v>
      </c>
      <c r="AZ33" s="72" t="e">
        <f t="shared" ca="1" si="54"/>
        <v>#VALUE!</v>
      </c>
      <c r="BA33" s="72" t="e">
        <f t="shared" ca="1" si="55"/>
        <v>#VALUE!</v>
      </c>
      <c r="BB33" s="72" t="e">
        <f t="shared" ca="1" si="56"/>
        <v>#VALUE!</v>
      </c>
      <c r="BC33" s="72" t="str">
        <f>IF(Data!$D$30="","",IF(AND($C33="",$D33="",$E33="",$G33="",$H33="",$I33=""),"",IF(AND(AX33="Inside",AZ33="Yes",BB33&gt;0),"Yes - "&amp;ROUND(BB33,2)&amp;" ft","No")))</f>
        <v/>
      </c>
      <c r="BD33" s="72" t="str">
        <f ca="1">IF(0-Data!$O$47/2&gt;AP33,"Behind",IF(Data!$O$47/2+4000&lt;AP33,"Beyond","Inside"))</f>
        <v>Beyond</v>
      </c>
      <c r="BE33" s="72" t="e">
        <f t="shared" ca="1" si="57"/>
        <v>#VALUE!</v>
      </c>
      <c r="BF33" s="72" t="e">
        <f t="shared" ca="1" si="58"/>
        <v>#VALUE!</v>
      </c>
      <c r="BG33" s="72" t="e">
        <f t="shared" ca="1" si="59"/>
        <v>#VALUE!</v>
      </c>
      <c r="BH33" s="72" t="str">
        <f>IF(Data!$D$30="","",IF(AND($C33="",$D33="",$E33="",$G33="",$H33="",$I33=""),"",IF(AND(BD33="Inside",BE33="Yes",BG33&gt;0),"Yes - "&amp;ROUND(BG33,2)&amp;" ft","No")))</f>
        <v/>
      </c>
      <c r="BI33" s="3" t="str">
        <f t="shared" si="60"/>
        <v/>
      </c>
      <c r="BJ33" s="3" t="str">
        <f t="shared" si="61"/>
        <v/>
      </c>
      <c r="BK33" s="3" t="str">
        <f ca="1">IF(Data!$O$47/2+4000&lt;BI33,"Beyond",IF(Data!$O$47/2&gt;BI33,"Behind","Inside"))</f>
        <v>Beyond</v>
      </c>
      <c r="BL33" s="20" t="e">
        <f ca="1">IF((TAN(Data!$AA$5*PI()/180)*BI33)+(Data!$O$47/2)&lt;Data!$O$47/2,Data!$O$47/2,IF((TAN(Data!$AA$5*PI()/180)*BI33)+(Data!$O$47/2)&gt;250,250,(TAN(Data!$AA$5*PI()/180)*BI33)+(Data!$O$47/2)))</f>
        <v>#VALUE!</v>
      </c>
      <c r="BM33" s="3" t="str">
        <f t="shared" ca="1" si="62"/>
        <v>No</v>
      </c>
      <c r="BN33" s="20" t="e">
        <f ca="1">IF(((BI33-(Data!$O$47/2))/8)&gt;0,((BI33-(Data!$O$47/2))/8),0)</f>
        <v>#VALUE!</v>
      </c>
      <c r="BO33" s="20" t="e">
        <f t="shared" ca="1" si="63"/>
        <v>#VALUE!</v>
      </c>
      <c r="BP33" s="3" t="str">
        <f>IF(Data!$D$31="","",IF(AND($C33="",$D33="",$E33="",$G33="",$H33="",$I33=""),"",IF(AND(BK33="Inside",BM33="Yes",BO33&gt;0),"Yes - "&amp;ROUND(BO33,2)&amp;" ft","No")))</f>
        <v/>
      </c>
      <c r="BQ33" s="3" t="str">
        <f ca="1">IF(Data!$O$47/2+2000&lt;BI33,"Beyond",IF(Data!$O$47/2&gt;BI33,"Behind","Inside"))</f>
        <v>Beyond</v>
      </c>
      <c r="BR33" s="20" t="e">
        <f ca="1">(TAN(Data!$AA$12*PI()/180)*BI33)+(Data!$O$47/2)</f>
        <v>#VALUE!</v>
      </c>
      <c r="BS33" s="3" t="e">
        <f t="shared" ca="1" si="64"/>
        <v>#VALUE!</v>
      </c>
      <c r="BT33" s="20" t="e">
        <f t="shared" ca="1" si="65"/>
        <v>#VALUE!</v>
      </c>
      <c r="BU33" s="20" t="e">
        <f t="shared" ca="1" si="66"/>
        <v>#VALUE!</v>
      </c>
      <c r="BV33" s="3" t="str">
        <f>IF(Data!$D$31="","",IF(AND($C33="",$D33="",$E33="",$G33="",$H33="",$I33=""),"",IF(AND(BQ33="Inside",BS33="Yes",BU33&gt;0),"Yes - "&amp;ROUND(BU33,2)&amp;" ft","No")))</f>
        <v/>
      </c>
      <c r="BW33" s="3" t="str">
        <f ca="1">IF(0-Data!$O$47/2&gt;BI33,"Behind",IF(Data!$O$47/2+4000&lt;BI33,"Beyond","Inside"))</f>
        <v>Beyond</v>
      </c>
      <c r="BX33" s="3" t="e">
        <f t="shared" ca="1" si="67"/>
        <v>#VALUE!</v>
      </c>
      <c r="BY33" s="20" t="e">
        <f t="shared" ca="1" si="68"/>
        <v>#VALUE!</v>
      </c>
      <c r="BZ33" s="20" t="e">
        <f t="shared" ca="1" si="69"/>
        <v>#VALUE!</v>
      </c>
      <c r="CA33" s="3" t="str">
        <f>IF(Data!$D$31="","",IF(AND($C33="",$D33="",$E33="",$G33="",$H33="",$I33=""),"",IF(AND(BW33="Inside",BX33="Yes",BZ33&gt;0),"Yes - "&amp;ROUND(BZ33,2)&amp;" ft","No")))</f>
        <v/>
      </c>
      <c r="CB33" s="9"/>
      <c r="CC33" t="str">
        <f t="shared" si="70"/>
        <v>No</v>
      </c>
      <c r="CD33" s="62" t="s">
        <v>539</v>
      </c>
      <c r="CE33" s="63">
        <f t="shared" si="7"/>
        <v>0</v>
      </c>
      <c r="CF33" s="63">
        <f t="shared" si="5"/>
        <v>260330.3</v>
      </c>
      <c r="CG33" s="63">
        <f t="shared" si="6"/>
        <v>800803.59</v>
      </c>
      <c r="CH33" s="63">
        <f t="shared" si="24"/>
        <v>354</v>
      </c>
      <c r="CI33" s="63">
        <f t="shared" si="9"/>
        <v>0</v>
      </c>
      <c r="CJ33" s="63">
        <f t="shared" si="10"/>
        <v>0.45480516874807703</v>
      </c>
      <c r="CK33" s="63">
        <f t="shared" si="11"/>
        <v>1.39860791215351</v>
      </c>
      <c r="CL33" s="63">
        <f t="shared" si="25"/>
        <v>354</v>
      </c>
      <c r="CM33" s="63">
        <f t="shared" si="26"/>
        <v>6.1784655520599303</v>
      </c>
      <c r="CN33" s="63">
        <f t="shared" si="12"/>
        <v>0</v>
      </c>
      <c r="CO33" s="63">
        <f t="shared" si="13"/>
        <v>1.00543891812539</v>
      </c>
      <c r="CP33" s="63">
        <f t="shared" si="14"/>
        <v>0</v>
      </c>
      <c r="CQ33" s="63">
        <f t="shared" si="15"/>
        <v>0.45480516874807703</v>
      </c>
      <c r="CR33" s="63">
        <f t="shared" si="16"/>
        <v>0</v>
      </c>
      <c r="CS33" s="63">
        <f t="shared" si="17"/>
        <v>0.45480516874807703</v>
      </c>
      <c r="CT33" s="63">
        <f t="shared" si="18"/>
        <v>1.39860791215351</v>
      </c>
      <c r="CU33" s="63">
        <f t="shared" si="19"/>
        <v>9.3200582056497208</v>
      </c>
      <c r="CV33" s="63">
        <f t="shared" si="20"/>
        <v>26.058416670000021</v>
      </c>
      <c r="CW33" s="63">
        <f t="shared" si="21"/>
        <v>80.134330559999924</v>
      </c>
      <c r="CX33" s="63">
        <f t="shared" si="22"/>
        <v>260330.30001199999</v>
      </c>
      <c r="CY33" s="63">
        <f t="shared" si="23"/>
        <v>800803.59001599997</v>
      </c>
    </row>
    <row r="34" spans="1:103" x14ac:dyDescent="0.25">
      <c r="A34" s="67">
        <v>24</v>
      </c>
      <c r="B34" s="84"/>
      <c r="C34" s="84"/>
      <c r="D34" s="84"/>
      <c r="E34" s="84"/>
      <c r="F34" s="109" t="str">
        <f t="shared" si="27"/>
        <v/>
      </c>
      <c r="G34" s="81"/>
      <c r="H34" s="81"/>
      <c r="I34" s="85"/>
      <c r="J34" s="77" t="str">
        <f t="shared" si="28"/>
        <v/>
      </c>
      <c r="K34" s="77" t="str">
        <f t="shared" si="29"/>
        <v/>
      </c>
      <c r="L34" s="77" t="str">
        <f t="shared" si="30"/>
        <v/>
      </c>
      <c r="M34" s="79" t="str">
        <f t="shared" si="31"/>
        <v/>
      </c>
      <c r="N34" s="79" t="str">
        <f t="shared" si="32"/>
        <v/>
      </c>
      <c r="O34" s="79" t="str">
        <f t="shared" si="33"/>
        <v/>
      </c>
      <c r="P34" s="77" t="str">
        <f t="shared" si="34"/>
        <v/>
      </c>
      <c r="Q34" s="77" t="str">
        <f t="shared" si="35"/>
        <v/>
      </c>
      <c r="R34" s="77" t="str">
        <f t="shared" si="36"/>
        <v/>
      </c>
      <c r="S34" s="8"/>
      <c r="T34" s="74">
        <f t="shared" si="37"/>
        <v>-80.134330559999924</v>
      </c>
      <c r="U34" s="66">
        <f t="shared" si="38"/>
        <v>26.058416670000021</v>
      </c>
      <c r="V34" s="66">
        <f t="shared" si="39"/>
        <v>1.524</v>
      </c>
      <c r="W34" s="3" t="str">
        <f t="shared" si="40"/>
        <v/>
      </c>
      <c r="X34" s="3" t="str">
        <f t="shared" si="41"/>
        <v/>
      </c>
      <c r="Y34" s="3" t="str">
        <f ca="1">IF(Data!$O$47/2+4000&lt;W34,"Beyond",IF(Data!$O$47/2&gt;W34,"Behind","Inside"))</f>
        <v>Beyond</v>
      </c>
      <c r="Z34" s="20" t="e">
        <f ca="1">IF((TAN(Data!$AA$5*PI()/180)*W34)+(Data!$O$47/2)&lt;Data!$O$47/2,Data!$O$47/2,IF((TAN(Data!$AA$5*PI()/180)*W34)+(Data!$O$47/2)&gt;250,250,(TAN(Data!$AA$5*PI()/180)*W34)+(Data!$O$47/2)))</f>
        <v>#VALUE!</v>
      </c>
      <c r="AA34" s="3" t="str">
        <f t="shared" ca="1" si="42"/>
        <v>No</v>
      </c>
      <c r="AB34" s="20" t="e">
        <f ca="1">IF(((W34-(Data!$O$47/2))/8)&gt;0,((W34-(Data!$O$47/2))/8),0)</f>
        <v>#VALUE!</v>
      </c>
      <c r="AC34" s="20" t="e">
        <f t="shared" ca="1" si="43"/>
        <v>#VALUE!</v>
      </c>
      <c r="AD34" s="3" t="str">
        <f>IF(Data!$D$29="","",IF(AND($C34="",$D34="",$E34="",$G34="",$H34="",$I34=""),"",IF(AND(Y34="Inside",AA34="Yes",AC34&gt;0),"Yes - "&amp;ROUND(AC34,2)&amp;" ft","No")))</f>
        <v/>
      </c>
      <c r="AE34" s="3" t="str">
        <f ca="1">IF(Data!$O$47/2+2000&lt;W34,"Beyond",IF(Data!$O$47/2&gt;W34,"Behind","Inside"))</f>
        <v>Beyond</v>
      </c>
      <c r="AF34" s="20" t="e">
        <f ca="1">(TAN(Data!$AA$12*PI()/180)*W34)+(Data!$O$47/2)</f>
        <v>#VALUE!</v>
      </c>
      <c r="AG34" s="3" t="e">
        <f t="shared" ca="1" si="44"/>
        <v>#VALUE!</v>
      </c>
      <c r="AH34" s="20" t="e">
        <f t="shared" ca="1" si="45"/>
        <v>#VALUE!</v>
      </c>
      <c r="AI34" s="20" t="e">
        <f t="shared" ca="1" si="46"/>
        <v>#VALUE!</v>
      </c>
      <c r="AJ34" s="3" t="str">
        <f>IF(Data!$D$29="","",IF(AND($C34="",$D34="",$E34="",$G34="",$H34="",$I34=""),"",IF(AND(AE34="Inside",AG34="Yes",AI34&gt;0),"Yes - "&amp;ROUND(AI34,2)&amp;" ft","No")))</f>
        <v/>
      </c>
      <c r="AK34" s="3" t="str">
        <f ca="1">IF(0-Data!$O$47/2&gt;W34,"Behind",IF(Data!$O$47/2+4000&lt;W34,"Beyond","Inside"))</f>
        <v>Beyond</v>
      </c>
      <c r="AL34" s="3" t="e">
        <f t="shared" ca="1" si="47"/>
        <v>#VALUE!</v>
      </c>
      <c r="AM34" s="20" t="e">
        <f t="shared" ca="1" si="48"/>
        <v>#VALUE!</v>
      </c>
      <c r="AN34" s="20" t="e">
        <f t="shared" ca="1" si="49"/>
        <v>#VALUE!</v>
      </c>
      <c r="AO34" s="3" t="str">
        <f>IF(Data!$D$29="","",IF(AND($C34="",$D34="",$E34="",$G34="",$H34="",$I34=""),"",IF(AND(AK34="Inside",AL34="Yes",AN34&gt;0),"Yes - "&amp;ROUND(AN34,2)&amp;" ft","No")))</f>
        <v/>
      </c>
      <c r="AP34" s="72" t="str">
        <f t="shared" si="50"/>
        <v/>
      </c>
      <c r="AQ34" s="72" t="str">
        <f t="shared" si="51"/>
        <v/>
      </c>
      <c r="AR34" s="72" t="str">
        <f ca="1">IF(Data!$O$47/2+4000&lt;AP34,"Beyond",IF(Data!$O$47/2&gt;AP34,"Behind","Inside"))</f>
        <v>Beyond</v>
      </c>
      <c r="AS34" s="72" t="e">
        <f ca="1">IF((TAN(Data!$AA$5*PI()/180)*AP34)+(Data!$O$47/2)&lt;Data!$O$47/2,Data!$O$47/2,IF((TAN(Data!$AA$5*PI()/180)*AP34)+(Data!$O$47/2)&gt;250,250,(TAN(Data!$AA$5*PI()/180)*AP34)+(Data!$O$47/2)))</f>
        <v>#VALUE!</v>
      </c>
      <c r="AT34" s="72" t="str">
        <f t="shared" ca="1" si="52"/>
        <v>No</v>
      </c>
      <c r="AU34" s="72" t="e">
        <f ca="1">IF(((AP34-(Data!$O$47/2))/8)&gt;0,((AP34-(Data!$O$47/2))/8),0)</f>
        <v>#VALUE!</v>
      </c>
      <c r="AV34" s="72" t="e">
        <f t="shared" ca="1" si="53"/>
        <v>#VALUE!</v>
      </c>
      <c r="AW34" s="72" t="str">
        <f>IF(Data!$D$30="","",IF(AND($C34="",$D34="",$E34="",$G34="",$H34="",$I34=""),"",IF(AND(AR34="Inside",AT34="Yes",AV34&gt;0),"Yes - "&amp;ROUND(AV34,2)&amp;" ft","No")))</f>
        <v/>
      </c>
      <c r="AX34" s="72" t="str">
        <f ca="1">IF(Data!$O$47/2+2000&lt;AP34,"Beyond",IF(Data!$O$47/2&gt;AP34,"Behind","Inside"))</f>
        <v>Beyond</v>
      </c>
      <c r="AY34" s="72" t="e">
        <f ca="1">(TAN(Data!$AA$12*PI()/180)*AP34)+(Data!$O$47/2)</f>
        <v>#VALUE!</v>
      </c>
      <c r="AZ34" s="72" t="e">
        <f t="shared" ca="1" si="54"/>
        <v>#VALUE!</v>
      </c>
      <c r="BA34" s="72" t="e">
        <f t="shared" ca="1" si="55"/>
        <v>#VALUE!</v>
      </c>
      <c r="BB34" s="72" t="e">
        <f t="shared" ca="1" si="56"/>
        <v>#VALUE!</v>
      </c>
      <c r="BC34" s="72" t="str">
        <f>IF(Data!$D$30="","",IF(AND($C34="",$D34="",$E34="",$G34="",$H34="",$I34=""),"",IF(AND(AX34="Inside",AZ34="Yes",BB34&gt;0),"Yes - "&amp;ROUND(BB34,2)&amp;" ft","No")))</f>
        <v/>
      </c>
      <c r="BD34" s="72" t="str">
        <f ca="1">IF(0-Data!$O$47/2&gt;AP34,"Behind",IF(Data!$O$47/2+4000&lt;AP34,"Beyond","Inside"))</f>
        <v>Beyond</v>
      </c>
      <c r="BE34" s="72" t="e">
        <f t="shared" ca="1" si="57"/>
        <v>#VALUE!</v>
      </c>
      <c r="BF34" s="72" t="e">
        <f t="shared" ca="1" si="58"/>
        <v>#VALUE!</v>
      </c>
      <c r="BG34" s="72" t="e">
        <f t="shared" ca="1" si="59"/>
        <v>#VALUE!</v>
      </c>
      <c r="BH34" s="72" t="str">
        <f>IF(Data!$D$30="","",IF(AND($C34="",$D34="",$E34="",$G34="",$H34="",$I34=""),"",IF(AND(BD34="Inside",BE34="Yes",BG34&gt;0),"Yes - "&amp;ROUND(BG34,2)&amp;" ft","No")))</f>
        <v/>
      </c>
      <c r="BI34" s="3" t="str">
        <f t="shared" si="60"/>
        <v/>
      </c>
      <c r="BJ34" s="3" t="str">
        <f t="shared" si="61"/>
        <v/>
      </c>
      <c r="BK34" s="3" t="str">
        <f ca="1">IF(Data!$O$47/2+4000&lt;BI34,"Beyond",IF(Data!$O$47/2&gt;BI34,"Behind","Inside"))</f>
        <v>Beyond</v>
      </c>
      <c r="BL34" s="20" t="e">
        <f ca="1">IF((TAN(Data!$AA$5*PI()/180)*BI34)+(Data!$O$47/2)&lt;Data!$O$47/2,Data!$O$47/2,IF((TAN(Data!$AA$5*PI()/180)*BI34)+(Data!$O$47/2)&gt;250,250,(TAN(Data!$AA$5*PI()/180)*BI34)+(Data!$O$47/2)))</f>
        <v>#VALUE!</v>
      </c>
      <c r="BM34" s="3" t="str">
        <f t="shared" ca="1" si="62"/>
        <v>No</v>
      </c>
      <c r="BN34" s="20" t="e">
        <f ca="1">IF(((BI34-(Data!$O$47/2))/8)&gt;0,((BI34-(Data!$O$47/2))/8),0)</f>
        <v>#VALUE!</v>
      </c>
      <c r="BO34" s="20" t="e">
        <f t="shared" ca="1" si="63"/>
        <v>#VALUE!</v>
      </c>
      <c r="BP34" s="3" t="str">
        <f>IF(Data!$D$31="","",IF(AND($C34="",$D34="",$E34="",$G34="",$H34="",$I34=""),"",IF(AND(BK34="Inside",BM34="Yes",BO34&gt;0),"Yes - "&amp;ROUND(BO34,2)&amp;" ft","No")))</f>
        <v/>
      </c>
      <c r="BQ34" s="3" t="str">
        <f ca="1">IF(Data!$O$47/2+2000&lt;BI34,"Beyond",IF(Data!$O$47/2&gt;BI34,"Behind","Inside"))</f>
        <v>Beyond</v>
      </c>
      <c r="BR34" s="20" t="e">
        <f ca="1">(TAN(Data!$AA$12*PI()/180)*BI34)+(Data!$O$47/2)</f>
        <v>#VALUE!</v>
      </c>
      <c r="BS34" s="3" t="e">
        <f t="shared" ca="1" si="64"/>
        <v>#VALUE!</v>
      </c>
      <c r="BT34" s="20" t="e">
        <f t="shared" ca="1" si="65"/>
        <v>#VALUE!</v>
      </c>
      <c r="BU34" s="20" t="e">
        <f t="shared" ca="1" si="66"/>
        <v>#VALUE!</v>
      </c>
      <c r="BV34" s="3" t="str">
        <f>IF(Data!$D$31="","",IF(AND($C34="",$D34="",$E34="",$G34="",$H34="",$I34=""),"",IF(AND(BQ34="Inside",BS34="Yes",BU34&gt;0),"Yes - "&amp;ROUND(BU34,2)&amp;" ft","No")))</f>
        <v/>
      </c>
      <c r="BW34" s="3" t="str">
        <f ca="1">IF(0-Data!$O$47/2&gt;BI34,"Behind",IF(Data!$O$47/2+4000&lt;BI34,"Beyond","Inside"))</f>
        <v>Beyond</v>
      </c>
      <c r="BX34" s="3" t="e">
        <f t="shared" ca="1" si="67"/>
        <v>#VALUE!</v>
      </c>
      <c r="BY34" s="20" t="e">
        <f t="shared" ca="1" si="68"/>
        <v>#VALUE!</v>
      </c>
      <c r="BZ34" s="20" t="e">
        <f t="shared" ca="1" si="69"/>
        <v>#VALUE!</v>
      </c>
      <c r="CA34" s="3" t="str">
        <f>IF(Data!$D$31="","",IF(AND($C34="",$D34="",$E34="",$G34="",$H34="",$I34=""),"",IF(AND(BW34="Inside",BX34="Yes",BZ34&gt;0),"Yes - "&amp;ROUND(BZ34,2)&amp;" ft","No")))</f>
        <v/>
      </c>
      <c r="CB34" s="9"/>
      <c r="CC34" t="str">
        <f t="shared" si="70"/>
        <v>No</v>
      </c>
      <c r="CD34" s="62" t="s">
        <v>540</v>
      </c>
      <c r="CE34" s="63">
        <f t="shared" si="7"/>
        <v>0</v>
      </c>
      <c r="CF34" s="63">
        <f t="shared" si="5"/>
        <v>260330.3</v>
      </c>
      <c r="CG34" s="63">
        <f t="shared" si="6"/>
        <v>800803.59</v>
      </c>
      <c r="CH34" s="63">
        <f t="shared" si="24"/>
        <v>354</v>
      </c>
      <c r="CI34" s="63">
        <f t="shared" si="9"/>
        <v>0</v>
      </c>
      <c r="CJ34" s="63">
        <f t="shared" si="10"/>
        <v>0.45480516874807703</v>
      </c>
      <c r="CK34" s="63">
        <f t="shared" si="11"/>
        <v>1.39860791215351</v>
      </c>
      <c r="CL34" s="63">
        <f t="shared" si="25"/>
        <v>354</v>
      </c>
      <c r="CM34" s="63">
        <f t="shared" si="26"/>
        <v>6.1784655520599303</v>
      </c>
      <c r="CN34" s="63">
        <f t="shared" si="12"/>
        <v>0</v>
      </c>
      <c r="CO34" s="63">
        <f t="shared" si="13"/>
        <v>1.00543891812539</v>
      </c>
      <c r="CP34" s="63">
        <f t="shared" si="14"/>
        <v>0</v>
      </c>
      <c r="CQ34" s="63">
        <f t="shared" si="15"/>
        <v>0.45480516874807703</v>
      </c>
      <c r="CR34" s="63">
        <f t="shared" si="16"/>
        <v>0</v>
      </c>
      <c r="CS34" s="63">
        <f t="shared" si="17"/>
        <v>0.45480516874807703</v>
      </c>
      <c r="CT34" s="63">
        <f t="shared" si="18"/>
        <v>1.39860791215351</v>
      </c>
      <c r="CU34" s="63">
        <f t="shared" si="19"/>
        <v>9.3200582056497208</v>
      </c>
      <c r="CV34" s="63">
        <f t="shared" si="20"/>
        <v>26.058416670000021</v>
      </c>
      <c r="CW34" s="63">
        <f t="shared" si="21"/>
        <v>80.134330559999924</v>
      </c>
      <c r="CX34" s="63">
        <f t="shared" si="22"/>
        <v>260330.30001199999</v>
      </c>
      <c r="CY34" s="63">
        <f t="shared" si="23"/>
        <v>800803.59001599997</v>
      </c>
    </row>
    <row r="35" spans="1:103" x14ac:dyDescent="0.25">
      <c r="A35" s="67">
        <v>25</v>
      </c>
      <c r="B35" s="84"/>
      <c r="C35" s="84"/>
      <c r="D35" s="84"/>
      <c r="E35" s="84"/>
      <c r="F35" s="109" t="str">
        <f t="shared" si="27"/>
        <v/>
      </c>
      <c r="G35" s="81"/>
      <c r="H35" s="81"/>
      <c r="I35" s="85"/>
      <c r="J35" s="77" t="str">
        <f t="shared" si="28"/>
        <v/>
      </c>
      <c r="K35" s="77" t="str">
        <f t="shared" si="29"/>
        <v/>
      </c>
      <c r="L35" s="77" t="str">
        <f t="shared" si="30"/>
        <v/>
      </c>
      <c r="M35" s="79" t="str">
        <f t="shared" si="31"/>
        <v/>
      </c>
      <c r="N35" s="79" t="str">
        <f t="shared" si="32"/>
        <v/>
      </c>
      <c r="O35" s="79" t="str">
        <f t="shared" si="33"/>
        <v/>
      </c>
      <c r="P35" s="77" t="str">
        <f t="shared" si="34"/>
        <v/>
      </c>
      <c r="Q35" s="77" t="str">
        <f t="shared" si="35"/>
        <v/>
      </c>
      <c r="R35" s="77" t="str">
        <f t="shared" si="36"/>
        <v/>
      </c>
      <c r="S35" s="8"/>
      <c r="T35" s="74">
        <f t="shared" si="37"/>
        <v>-80.134330559999924</v>
      </c>
      <c r="U35" s="66">
        <f t="shared" si="38"/>
        <v>26.058416670000021</v>
      </c>
      <c r="V35" s="66">
        <f t="shared" si="39"/>
        <v>1.524</v>
      </c>
      <c r="W35" s="3" t="str">
        <f t="shared" si="40"/>
        <v/>
      </c>
      <c r="X35" s="3" t="str">
        <f t="shared" si="41"/>
        <v/>
      </c>
      <c r="Y35" s="3" t="str">
        <f ca="1">IF(Data!$O$47/2+4000&lt;W35,"Beyond",IF(Data!$O$47/2&gt;W35,"Behind","Inside"))</f>
        <v>Beyond</v>
      </c>
      <c r="Z35" s="20" t="e">
        <f ca="1">IF((TAN(Data!$AA$5*PI()/180)*W35)+(Data!$O$47/2)&lt;Data!$O$47/2,Data!$O$47/2,IF((TAN(Data!$AA$5*PI()/180)*W35)+(Data!$O$47/2)&gt;250,250,(TAN(Data!$AA$5*PI()/180)*W35)+(Data!$O$47/2)))</f>
        <v>#VALUE!</v>
      </c>
      <c r="AA35" s="3" t="str">
        <f t="shared" ca="1" si="42"/>
        <v>No</v>
      </c>
      <c r="AB35" s="20" t="e">
        <f ca="1">IF(((W35-(Data!$O$47/2))/8)&gt;0,((W35-(Data!$O$47/2))/8),0)</f>
        <v>#VALUE!</v>
      </c>
      <c r="AC35" s="20" t="e">
        <f t="shared" ca="1" si="43"/>
        <v>#VALUE!</v>
      </c>
      <c r="AD35" s="3" t="str">
        <f>IF(Data!$D$29="","",IF(AND($C35="",$D35="",$E35="",$G35="",$H35="",$I35=""),"",IF(AND(Y35="Inside",AA35="Yes",AC35&gt;0),"Yes - "&amp;ROUND(AC35,2)&amp;" ft","No")))</f>
        <v/>
      </c>
      <c r="AE35" s="3" t="str">
        <f ca="1">IF(Data!$O$47/2+2000&lt;W35,"Beyond",IF(Data!$O$47/2&gt;W35,"Behind","Inside"))</f>
        <v>Beyond</v>
      </c>
      <c r="AF35" s="20" t="e">
        <f ca="1">(TAN(Data!$AA$12*PI()/180)*W35)+(Data!$O$47/2)</f>
        <v>#VALUE!</v>
      </c>
      <c r="AG35" s="3" t="e">
        <f t="shared" ca="1" si="44"/>
        <v>#VALUE!</v>
      </c>
      <c r="AH35" s="20" t="e">
        <f t="shared" ca="1" si="45"/>
        <v>#VALUE!</v>
      </c>
      <c r="AI35" s="20" t="e">
        <f t="shared" ca="1" si="46"/>
        <v>#VALUE!</v>
      </c>
      <c r="AJ35" s="3" t="str">
        <f>IF(Data!$D$29="","",IF(AND($C35="",$D35="",$E35="",$G35="",$H35="",$I35=""),"",IF(AND(AE35="Inside",AG35="Yes",AI35&gt;0),"Yes - "&amp;ROUND(AI35,2)&amp;" ft","No")))</f>
        <v/>
      </c>
      <c r="AK35" s="3" t="str">
        <f ca="1">IF(0-Data!$O$47/2&gt;W35,"Behind",IF(Data!$O$47/2+4000&lt;W35,"Beyond","Inside"))</f>
        <v>Beyond</v>
      </c>
      <c r="AL35" s="3" t="e">
        <f t="shared" ca="1" si="47"/>
        <v>#VALUE!</v>
      </c>
      <c r="AM35" s="20" t="e">
        <f t="shared" ca="1" si="48"/>
        <v>#VALUE!</v>
      </c>
      <c r="AN35" s="20" t="e">
        <f t="shared" ca="1" si="49"/>
        <v>#VALUE!</v>
      </c>
      <c r="AO35" s="3" t="str">
        <f>IF(Data!$D$29="","",IF(AND($C35="",$D35="",$E35="",$G35="",$H35="",$I35=""),"",IF(AND(AK35="Inside",AL35="Yes",AN35&gt;0),"Yes - "&amp;ROUND(AN35,2)&amp;" ft","No")))</f>
        <v/>
      </c>
      <c r="AP35" s="72" t="str">
        <f t="shared" si="50"/>
        <v/>
      </c>
      <c r="AQ35" s="72" t="str">
        <f t="shared" si="51"/>
        <v/>
      </c>
      <c r="AR35" s="72" t="str">
        <f ca="1">IF(Data!$O$47/2+4000&lt;AP35,"Beyond",IF(Data!$O$47/2&gt;AP35,"Behind","Inside"))</f>
        <v>Beyond</v>
      </c>
      <c r="AS35" s="72" t="e">
        <f ca="1">IF((TAN(Data!$AA$5*PI()/180)*AP35)+(Data!$O$47/2)&lt;Data!$O$47/2,Data!$O$47/2,IF((TAN(Data!$AA$5*PI()/180)*AP35)+(Data!$O$47/2)&gt;250,250,(TAN(Data!$AA$5*PI()/180)*AP35)+(Data!$O$47/2)))</f>
        <v>#VALUE!</v>
      </c>
      <c r="AT35" s="72" t="str">
        <f t="shared" ca="1" si="52"/>
        <v>No</v>
      </c>
      <c r="AU35" s="72" t="e">
        <f ca="1">IF(((AP35-(Data!$O$47/2))/8)&gt;0,((AP35-(Data!$O$47/2))/8),0)</f>
        <v>#VALUE!</v>
      </c>
      <c r="AV35" s="72" t="e">
        <f t="shared" ca="1" si="53"/>
        <v>#VALUE!</v>
      </c>
      <c r="AW35" s="72" t="str">
        <f>IF(Data!$D$30="","",IF(AND($C35="",$D35="",$E35="",$G35="",$H35="",$I35=""),"",IF(AND(AR35="Inside",AT35="Yes",AV35&gt;0),"Yes - "&amp;ROUND(AV35,2)&amp;" ft","No")))</f>
        <v/>
      </c>
      <c r="AX35" s="72" t="str">
        <f ca="1">IF(Data!$O$47/2+2000&lt;AP35,"Beyond",IF(Data!$O$47/2&gt;AP35,"Behind","Inside"))</f>
        <v>Beyond</v>
      </c>
      <c r="AY35" s="72" t="e">
        <f ca="1">(TAN(Data!$AA$12*PI()/180)*AP35)+(Data!$O$47/2)</f>
        <v>#VALUE!</v>
      </c>
      <c r="AZ35" s="72" t="e">
        <f t="shared" ca="1" si="54"/>
        <v>#VALUE!</v>
      </c>
      <c r="BA35" s="72" t="e">
        <f t="shared" ca="1" si="55"/>
        <v>#VALUE!</v>
      </c>
      <c r="BB35" s="72" t="e">
        <f t="shared" ca="1" si="56"/>
        <v>#VALUE!</v>
      </c>
      <c r="BC35" s="72" t="str">
        <f>IF(Data!$D$30="","",IF(AND($C35="",$D35="",$E35="",$G35="",$H35="",$I35=""),"",IF(AND(AX35="Inside",AZ35="Yes",BB35&gt;0),"Yes - "&amp;ROUND(BB35,2)&amp;" ft","No")))</f>
        <v/>
      </c>
      <c r="BD35" s="72" t="str">
        <f ca="1">IF(0-Data!$O$47/2&gt;AP35,"Behind",IF(Data!$O$47/2+4000&lt;AP35,"Beyond","Inside"))</f>
        <v>Beyond</v>
      </c>
      <c r="BE35" s="72" t="e">
        <f t="shared" ca="1" si="57"/>
        <v>#VALUE!</v>
      </c>
      <c r="BF35" s="72" t="e">
        <f t="shared" ca="1" si="58"/>
        <v>#VALUE!</v>
      </c>
      <c r="BG35" s="72" t="e">
        <f t="shared" ca="1" si="59"/>
        <v>#VALUE!</v>
      </c>
      <c r="BH35" s="72" t="str">
        <f>IF(Data!$D$30="","",IF(AND($C35="",$D35="",$E35="",$G35="",$H35="",$I35=""),"",IF(AND(BD35="Inside",BE35="Yes",BG35&gt;0),"Yes - "&amp;ROUND(BG35,2)&amp;" ft","No")))</f>
        <v/>
      </c>
      <c r="BI35" s="3" t="str">
        <f t="shared" si="60"/>
        <v/>
      </c>
      <c r="BJ35" s="3" t="str">
        <f t="shared" si="61"/>
        <v/>
      </c>
      <c r="BK35" s="3" t="str">
        <f ca="1">IF(Data!$O$47/2+4000&lt;BI35,"Beyond",IF(Data!$O$47/2&gt;BI35,"Behind","Inside"))</f>
        <v>Beyond</v>
      </c>
      <c r="BL35" s="20" t="e">
        <f ca="1">IF((TAN(Data!$AA$5*PI()/180)*BI35)+(Data!$O$47/2)&lt;Data!$O$47/2,Data!$O$47/2,IF((TAN(Data!$AA$5*PI()/180)*BI35)+(Data!$O$47/2)&gt;250,250,(TAN(Data!$AA$5*PI()/180)*BI35)+(Data!$O$47/2)))</f>
        <v>#VALUE!</v>
      </c>
      <c r="BM35" s="3" t="str">
        <f t="shared" ca="1" si="62"/>
        <v>No</v>
      </c>
      <c r="BN35" s="20" t="e">
        <f ca="1">IF(((BI35-(Data!$O$47/2))/8)&gt;0,((BI35-(Data!$O$47/2))/8),0)</f>
        <v>#VALUE!</v>
      </c>
      <c r="BO35" s="20" t="e">
        <f t="shared" ca="1" si="63"/>
        <v>#VALUE!</v>
      </c>
      <c r="BP35" s="3" t="str">
        <f>IF(Data!$D$31="","",IF(AND($C35="",$D35="",$E35="",$G35="",$H35="",$I35=""),"",IF(AND(BK35="Inside",BM35="Yes",BO35&gt;0),"Yes - "&amp;ROUND(BO35,2)&amp;" ft","No")))</f>
        <v/>
      </c>
      <c r="BQ35" s="3" t="str">
        <f ca="1">IF(Data!$O$47/2+2000&lt;BI35,"Beyond",IF(Data!$O$47/2&gt;BI35,"Behind","Inside"))</f>
        <v>Beyond</v>
      </c>
      <c r="BR35" s="20" t="e">
        <f ca="1">(TAN(Data!$AA$12*PI()/180)*BI35)+(Data!$O$47/2)</f>
        <v>#VALUE!</v>
      </c>
      <c r="BS35" s="3" t="e">
        <f t="shared" ca="1" si="64"/>
        <v>#VALUE!</v>
      </c>
      <c r="BT35" s="20" t="e">
        <f t="shared" ca="1" si="65"/>
        <v>#VALUE!</v>
      </c>
      <c r="BU35" s="20" t="e">
        <f t="shared" ca="1" si="66"/>
        <v>#VALUE!</v>
      </c>
      <c r="BV35" s="3" t="str">
        <f>IF(Data!$D$31="","",IF(AND($C35="",$D35="",$E35="",$G35="",$H35="",$I35=""),"",IF(AND(BQ35="Inside",BS35="Yes",BU35&gt;0),"Yes - "&amp;ROUND(BU35,2)&amp;" ft","No")))</f>
        <v/>
      </c>
      <c r="BW35" s="3" t="str">
        <f ca="1">IF(0-Data!$O$47/2&gt;BI35,"Behind",IF(Data!$O$47/2+4000&lt;BI35,"Beyond","Inside"))</f>
        <v>Beyond</v>
      </c>
      <c r="BX35" s="3" t="e">
        <f t="shared" ca="1" si="67"/>
        <v>#VALUE!</v>
      </c>
      <c r="BY35" s="20" t="e">
        <f t="shared" ca="1" si="68"/>
        <v>#VALUE!</v>
      </c>
      <c r="BZ35" s="20" t="e">
        <f t="shared" ca="1" si="69"/>
        <v>#VALUE!</v>
      </c>
      <c r="CA35" s="3" t="str">
        <f>IF(Data!$D$31="","",IF(AND($C35="",$D35="",$E35="",$G35="",$H35="",$I35=""),"",IF(AND(BW35="Inside",BX35="Yes",BZ35&gt;0),"Yes - "&amp;ROUND(BZ35,2)&amp;" ft","No")))</f>
        <v/>
      </c>
      <c r="CB35" s="9"/>
      <c r="CC35" t="str">
        <f t="shared" si="70"/>
        <v>No</v>
      </c>
      <c r="CD35" s="62" t="s">
        <v>541</v>
      </c>
      <c r="CE35" s="63">
        <f t="shared" si="7"/>
        <v>0</v>
      </c>
      <c r="CF35" s="63">
        <f t="shared" si="5"/>
        <v>260330.3</v>
      </c>
      <c r="CG35" s="63">
        <f t="shared" si="6"/>
        <v>800803.59</v>
      </c>
      <c r="CH35" s="63">
        <f t="shared" si="24"/>
        <v>354</v>
      </c>
      <c r="CI35" s="63">
        <f t="shared" si="9"/>
        <v>0</v>
      </c>
      <c r="CJ35" s="63">
        <f t="shared" si="10"/>
        <v>0.45480516874807703</v>
      </c>
      <c r="CK35" s="63">
        <f t="shared" si="11"/>
        <v>1.39860791215351</v>
      </c>
      <c r="CL35" s="63">
        <f t="shared" si="25"/>
        <v>354</v>
      </c>
      <c r="CM35" s="63">
        <f t="shared" si="26"/>
        <v>6.1784655520599303</v>
      </c>
      <c r="CN35" s="63">
        <f t="shared" si="12"/>
        <v>0</v>
      </c>
      <c r="CO35" s="63">
        <f t="shared" si="13"/>
        <v>1.00543891812539</v>
      </c>
      <c r="CP35" s="63">
        <f t="shared" si="14"/>
        <v>0</v>
      </c>
      <c r="CQ35" s="63">
        <f t="shared" si="15"/>
        <v>0.45480516874807703</v>
      </c>
      <c r="CR35" s="63">
        <f t="shared" si="16"/>
        <v>0</v>
      </c>
      <c r="CS35" s="63">
        <f t="shared" si="17"/>
        <v>0.45480516874807703</v>
      </c>
      <c r="CT35" s="63">
        <f t="shared" si="18"/>
        <v>1.39860791215351</v>
      </c>
      <c r="CU35" s="63">
        <f t="shared" si="19"/>
        <v>9.3200582056497208</v>
      </c>
      <c r="CV35" s="63">
        <f t="shared" si="20"/>
        <v>26.058416670000021</v>
      </c>
      <c r="CW35" s="63">
        <f t="shared" si="21"/>
        <v>80.134330559999924</v>
      </c>
      <c r="CX35" s="63">
        <f t="shared" si="22"/>
        <v>260330.30001199999</v>
      </c>
      <c r="CY35" s="63">
        <f t="shared" si="23"/>
        <v>800803.59001599997</v>
      </c>
    </row>
    <row r="36" spans="1:103" x14ac:dyDescent="0.25">
      <c r="A36" s="67">
        <v>26</v>
      </c>
      <c r="B36" s="84"/>
      <c r="C36" s="84"/>
      <c r="D36" s="84"/>
      <c r="E36" s="84"/>
      <c r="F36" s="109" t="str">
        <f t="shared" si="27"/>
        <v/>
      </c>
      <c r="G36" s="81"/>
      <c r="H36" s="81"/>
      <c r="I36" s="85"/>
      <c r="J36" s="77" t="str">
        <f t="shared" si="28"/>
        <v/>
      </c>
      <c r="K36" s="77" t="str">
        <f t="shared" si="29"/>
        <v/>
      </c>
      <c r="L36" s="77" t="str">
        <f t="shared" si="30"/>
        <v/>
      </c>
      <c r="M36" s="79" t="str">
        <f t="shared" si="31"/>
        <v/>
      </c>
      <c r="N36" s="79" t="str">
        <f t="shared" si="32"/>
        <v/>
      </c>
      <c r="O36" s="79" t="str">
        <f t="shared" si="33"/>
        <v/>
      </c>
      <c r="P36" s="77" t="str">
        <f t="shared" si="34"/>
        <v/>
      </c>
      <c r="Q36" s="77" t="str">
        <f t="shared" si="35"/>
        <v/>
      </c>
      <c r="R36" s="77" t="str">
        <f t="shared" si="36"/>
        <v/>
      </c>
      <c r="S36" s="8"/>
      <c r="T36" s="74">
        <f t="shared" si="37"/>
        <v>-80.134330559999924</v>
      </c>
      <c r="U36" s="66">
        <f t="shared" si="38"/>
        <v>26.058416670000021</v>
      </c>
      <c r="V36" s="66">
        <f t="shared" si="39"/>
        <v>1.524</v>
      </c>
      <c r="W36" s="3" t="str">
        <f t="shared" si="40"/>
        <v/>
      </c>
      <c r="X36" s="3" t="str">
        <f t="shared" si="41"/>
        <v/>
      </c>
      <c r="Y36" s="3" t="str">
        <f ca="1">IF(Data!$O$47/2+4000&lt;W36,"Beyond",IF(Data!$O$47/2&gt;W36,"Behind","Inside"))</f>
        <v>Beyond</v>
      </c>
      <c r="Z36" s="20" t="e">
        <f ca="1">IF((TAN(Data!$AA$5*PI()/180)*W36)+(Data!$O$47/2)&lt;Data!$O$47/2,Data!$O$47/2,IF((TAN(Data!$AA$5*PI()/180)*W36)+(Data!$O$47/2)&gt;250,250,(TAN(Data!$AA$5*PI()/180)*W36)+(Data!$O$47/2)))</f>
        <v>#VALUE!</v>
      </c>
      <c r="AA36" s="3" t="str">
        <f t="shared" ca="1" si="42"/>
        <v>No</v>
      </c>
      <c r="AB36" s="20" t="e">
        <f ca="1">IF(((W36-(Data!$O$47/2))/8)&gt;0,((W36-(Data!$O$47/2))/8),0)</f>
        <v>#VALUE!</v>
      </c>
      <c r="AC36" s="20" t="e">
        <f t="shared" ca="1" si="43"/>
        <v>#VALUE!</v>
      </c>
      <c r="AD36" s="3" t="str">
        <f>IF(Data!$D$29="","",IF(AND($C36="",$D36="",$E36="",$G36="",$H36="",$I36=""),"",IF(AND(Y36="Inside",AA36="Yes",AC36&gt;0),"Yes - "&amp;ROUND(AC36,2)&amp;" ft","No")))</f>
        <v/>
      </c>
      <c r="AE36" s="3" t="str">
        <f ca="1">IF(Data!$O$47/2+2000&lt;W36,"Beyond",IF(Data!$O$47/2&gt;W36,"Behind","Inside"))</f>
        <v>Beyond</v>
      </c>
      <c r="AF36" s="20" t="e">
        <f ca="1">(TAN(Data!$AA$12*PI()/180)*W36)+(Data!$O$47/2)</f>
        <v>#VALUE!</v>
      </c>
      <c r="AG36" s="3" t="e">
        <f t="shared" ca="1" si="44"/>
        <v>#VALUE!</v>
      </c>
      <c r="AH36" s="20" t="e">
        <f t="shared" ca="1" si="45"/>
        <v>#VALUE!</v>
      </c>
      <c r="AI36" s="20" t="e">
        <f t="shared" ca="1" si="46"/>
        <v>#VALUE!</v>
      </c>
      <c r="AJ36" s="3" t="str">
        <f>IF(Data!$D$29="","",IF(AND($C36="",$D36="",$E36="",$G36="",$H36="",$I36=""),"",IF(AND(AE36="Inside",AG36="Yes",AI36&gt;0),"Yes - "&amp;ROUND(AI36,2)&amp;" ft","No")))</f>
        <v/>
      </c>
      <c r="AK36" s="3" t="str">
        <f ca="1">IF(0-Data!$O$47/2&gt;W36,"Behind",IF(Data!$O$47/2+4000&lt;W36,"Beyond","Inside"))</f>
        <v>Beyond</v>
      </c>
      <c r="AL36" s="3" t="e">
        <f t="shared" ca="1" si="47"/>
        <v>#VALUE!</v>
      </c>
      <c r="AM36" s="20" t="e">
        <f t="shared" ca="1" si="48"/>
        <v>#VALUE!</v>
      </c>
      <c r="AN36" s="20" t="e">
        <f t="shared" ca="1" si="49"/>
        <v>#VALUE!</v>
      </c>
      <c r="AO36" s="3" t="str">
        <f>IF(Data!$D$29="","",IF(AND($C36="",$D36="",$E36="",$G36="",$H36="",$I36=""),"",IF(AND(AK36="Inside",AL36="Yes",AN36&gt;0),"Yes - "&amp;ROUND(AN36,2)&amp;" ft","No")))</f>
        <v/>
      </c>
      <c r="AP36" s="72" t="str">
        <f t="shared" si="50"/>
        <v/>
      </c>
      <c r="AQ36" s="72" t="str">
        <f t="shared" si="51"/>
        <v/>
      </c>
      <c r="AR36" s="72" t="str">
        <f ca="1">IF(Data!$O$47/2+4000&lt;AP36,"Beyond",IF(Data!$O$47/2&gt;AP36,"Behind","Inside"))</f>
        <v>Beyond</v>
      </c>
      <c r="AS36" s="72" t="e">
        <f ca="1">IF((TAN(Data!$AA$5*PI()/180)*AP36)+(Data!$O$47/2)&lt;Data!$O$47/2,Data!$O$47/2,IF((TAN(Data!$AA$5*PI()/180)*AP36)+(Data!$O$47/2)&gt;250,250,(TAN(Data!$AA$5*PI()/180)*AP36)+(Data!$O$47/2)))</f>
        <v>#VALUE!</v>
      </c>
      <c r="AT36" s="72" t="str">
        <f t="shared" ca="1" si="52"/>
        <v>No</v>
      </c>
      <c r="AU36" s="72" t="e">
        <f ca="1">IF(((AP36-(Data!$O$47/2))/8)&gt;0,((AP36-(Data!$O$47/2))/8),0)</f>
        <v>#VALUE!</v>
      </c>
      <c r="AV36" s="72" t="e">
        <f t="shared" ca="1" si="53"/>
        <v>#VALUE!</v>
      </c>
      <c r="AW36" s="72" t="str">
        <f>IF(Data!$D$30="","",IF(AND($C36="",$D36="",$E36="",$G36="",$H36="",$I36=""),"",IF(AND(AR36="Inside",AT36="Yes",AV36&gt;0),"Yes - "&amp;ROUND(AV36,2)&amp;" ft","No")))</f>
        <v/>
      </c>
      <c r="AX36" s="72" t="str">
        <f ca="1">IF(Data!$O$47/2+2000&lt;AP36,"Beyond",IF(Data!$O$47/2&gt;AP36,"Behind","Inside"))</f>
        <v>Beyond</v>
      </c>
      <c r="AY36" s="72" t="e">
        <f ca="1">(TAN(Data!$AA$12*PI()/180)*AP36)+(Data!$O$47/2)</f>
        <v>#VALUE!</v>
      </c>
      <c r="AZ36" s="72" t="e">
        <f t="shared" ca="1" si="54"/>
        <v>#VALUE!</v>
      </c>
      <c r="BA36" s="72" t="e">
        <f t="shared" ca="1" si="55"/>
        <v>#VALUE!</v>
      </c>
      <c r="BB36" s="72" t="e">
        <f t="shared" ca="1" si="56"/>
        <v>#VALUE!</v>
      </c>
      <c r="BC36" s="72" t="str">
        <f>IF(Data!$D$30="","",IF(AND($C36="",$D36="",$E36="",$G36="",$H36="",$I36=""),"",IF(AND(AX36="Inside",AZ36="Yes",BB36&gt;0),"Yes - "&amp;ROUND(BB36,2)&amp;" ft","No")))</f>
        <v/>
      </c>
      <c r="BD36" s="72" t="str">
        <f ca="1">IF(0-Data!$O$47/2&gt;AP36,"Behind",IF(Data!$O$47/2+4000&lt;AP36,"Beyond","Inside"))</f>
        <v>Beyond</v>
      </c>
      <c r="BE36" s="72" t="e">
        <f t="shared" ca="1" si="57"/>
        <v>#VALUE!</v>
      </c>
      <c r="BF36" s="72" t="e">
        <f t="shared" ca="1" si="58"/>
        <v>#VALUE!</v>
      </c>
      <c r="BG36" s="72" t="e">
        <f t="shared" ca="1" si="59"/>
        <v>#VALUE!</v>
      </c>
      <c r="BH36" s="72" t="str">
        <f>IF(Data!$D$30="","",IF(AND($C36="",$D36="",$E36="",$G36="",$H36="",$I36=""),"",IF(AND(BD36="Inside",BE36="Yes",BG36&gt;0),"Yes - "&amp;ROUND(BG36,2)&amp;" ft","No")))</f>
        <v/>
      </c>
      <c r="BI36" s="3" t="str">
        <f t="shared" si="60"/>
        <v/>
      </c>
      <c r="BJ36" s="3" t="str">
        <f t="shared" si="61"/>
        <v/>
      </c>
      <c r="BK36" s="3" t="str">
        <f ca="1">IF(Data!$O$47/2+4000&lt;BI36,"Beyond",IF(Data!$O$47/2&gt;BI36,"Behind","Inside"))</f>
        <v>Beyond</v>
      </c>
      <c r="BL36" s="20" t="e">
        <f ca="1">IF((TAN(Data!$AA$5*PI()/180)*BI36)+(Data!$O$47/2)&lt;Data!$O$47/2,Data!$O$47/2,IF((TAN(Data!$AA$5*PI()/180)*BI36)+(Data!$O$47/2)&gt;250,250,(TAN(Data!$AA$5*PI()/180)*BI36)+(Data!$O$47/2)))</f>
        <v>#VALUE!</v>
      </c>
      <c r="BM36" s="3" t="str">
        <f t="shared" ca="1" si="62"/>
        <v>No</v>
      </c>
      <c r="BN36" s="20" t="e">
        <f ca="1">IF(((BI36-(Data!$O$47/2))/8)&gt;0,((BI36-(Data!$O$47/2))/8),0)</f>
        <v>#VALUE!</v>
      </c>
      <c r="BO36" s="20" t="e">
        <f t="shared" ca="1" si="63"/>
        <v>#VALUE!</v>
      </c>
      <c r="BP36" s="3" t="str">
        <f>IF(Data!$D$31="","",IF(AND($C36="",$D36="",$E36="",$G36="",$H36="",$I36=""),"",IF(AND(BK36="Inside",BM36="Yes",BO36&gt;0),"Yes - "&amp;ROUND(BO36,2)&amp;" ft","No")))</f>
        <v/>
      </c>
      <c r="BQ36" s="3" t="str">
        <f ca="1">IF(Data!$O$47/2+2000&lt;BI36,"Beyond",IF(Data!$O$47/2&gt;BI36,"Behind","Inside"))</f>
        <v>Beyond</v>
      </c>
      <c r="BR36" s="20" t="e">
        <f ca="1">(TAN(Data!$AA$12*PI()/180)*BI36)+(Data!$O$47/2)</f>
        <v>#VALUE!</v>
      </c>
      <c r="BS36" s="3" t="e">
        <f t="shared" ca="1" si="64"/>
        <v>#VALUE!</v>
      </c>
      <c r="BT36" s="20" t="e">
        <f t="shared" ca="1" si="65"/>
        <v>#VALUE!</v>
      </c>
      <c r="BU36" s="20" t="e">
        <f t="shared" ca="1" si="66"/>
        <v>#VALUE!</v>
      </c>
      <c r="BV36" s="3" t="str">
        <f>IF(Data!$D$31="","",IF(AND($C36="",$D36="",$E36="",$G36="",$H36="",$I36=""),"",IF(AND(BQ36="Inside",BS36="Yes",BU36&gt;0),"Yes - "&amp;ROUND(BU36,2)&amp;" ft","No")))</f>
        <v/>
      </c>
      <c r="BW36" s="3" t="str">
        <f ca="1">IF(0-Data!$O$47/2&gt;BI36,"Behind",IF(Data!$O$47/2+4000&lt;BI36,"Beyond","Inside"))</f>
        <v>Beyond</v>
      </c>
      <c r="BX36" s="3" t="e">
        <f t="shared" ca="1" si="67"/>
        <v>#VALUE!</v>
      </c>
      <c r="BY36" s="20" t="e">
        <f t="shared" ca="1" si="68"/>
        <v>#VALUE!</v>
      </c>
      <c r="BZ36" s="20" t="e">
        <f t="shared" ca="1" si="69"/>
        <v>#VALUE!</v>
      </c>
      <c r="CA36" s="3" t="str">
        <f>IF(Data!$D$31="","",IF(AND($C36="",$D36="",$E36="",$G36="",$H36="",$I36=""),"",IF(AND(BW36="Inside",BX36="Yes",BZ36&gt;0),"Yes - "&amp;ROUND(BZ36,2)&amp;" ft","No")))</f>
        <v/>
      </c>
      <c r="CB36" s="9"/>
      <c r="CC36" t="str">
        <f t="shared" si="70"/>
        <v>No</v>
      </c>
      <c r="CD36" s="62" t="s">
        <v>542</v>
      </c>
      <c r="CE36" s="63">
        <f t="shared" si="7"/>
        <v>0</v>
      </c>
      <c r="CF36" s="63">
        <f t="shared" si="5"/>
        <v>260330.3</v>
      </c>
      <c r="CG36" s="63">
        <f t="shared" si="6"/>
        <v>800803.59</v>
      </c>
      <c r="CH36" s="63">
        <f t="shared" si="24"/>
        <v>354</v>
      </c>
      <c r="CI36" s="63">
        <f t="shared" si="9"/>
        <v>0</v>
      </c>
      <c r="CJ36" s="63">
        <f t="shared" si="10"/>
        <v>0.45480516874807703</v>
      </c>
      <c r="CK36" s="63">
        <f t="shared" si="11"/>
        <v>1.39860791215351</v>
      </c>
      <c r="CL36" s="63">
        <f t="shared" si="25"/>
        <v>354</v>
      </c>
      <c r="CM36" s="63">
        <f t="shared" si="26"/>
        <v>6.1784655520599303</v>
      </c>
      <c r="CN36" s="63">
        <f t="shared" si="12"/>
        <v>0</v>
      </c>
      <c r="CO36" s="63">
        <f t="shared" si="13"/>
        <v>1.00543891812539</v>
      </c>
      <c r="CP36" s="63">
        <f t="shared" si="14"/>
        <v>0</v>
      </c>
      <c r="CQ36" s="63">
        <f t="shared" si="15"/>
        <v>0.45480516874807703</v>
      </c>
      <c r="CR36" s="63">
        <f t="shared" si="16"/>
        <v>0</v>
      </c>
      <c r="CS36" s="63">
        <f t="shared" si="17"/>
        <v>0.45480516874807703</v>
      </c>
      <c r="CT36" s="63">
        <f t="shared" si="18"/>
        <v>1.39860791215351</v>
      </c>
      <c r="CU36" s="63">
        <f t="shared" si="19"/>
        <v>9.3200582056497208</v>
      </c>
      <c r="CV36" s="63">
        <f t="shared" si="20"/>
        <v>26.058416670000021</v>
      </c>
      <c r="CW36" s="63">
        <f t="shared" si="21"/>
        <v>80.134330559999924</v>
      </c>
      <c r="CX36" s="63">
        <f t="shared" si="22"/>
        <v>260330.30001199999</v>
      </c>
      <c r="CY36" s="63">
        <f t="shared" si="23"/>
        <v>800803.59001599997</v>
      </c>
    </row>
    <row r="37" spans="1:103" x14ac:dyDescent="0.25">
      <c r="A37" s="67">
        <v>27</v>
      </c>
      <c r="B37" s="84"/>
      <c r="C37" s="84"/>
      <c r="D37" s="84"/>
      <c r="E37" s="84"/>
      <c r="F37" s="109" t="str">
        <f t="shared" si="27"/>
        <v/>
      </c>
      <c r="G37" s="81"/>
      <c r="H37" s="81"/>
      <c r="I37" s="85"/>
      <c r="J37" s="77" t="str">
        <f t="shared" si="28"/>
        <v/>
      </c>
      <c r="K37" s="77" t="str">
        <f t="shared" si="29"/>
        <v/>
      </c>
      <c r="L37" s="77" t="str">
        <f t="shared" si="30"/>
        <v/>
      </c>
      <c r="M37" s="79" t="str">
        <f t="shared" si="31"/>
        <v/>
      </c>
      <c r="N37" s="79" t="str">
        <f t="shared" si="32"/>
        <v/>
      </c>
      <c r="O37" s="79" t="str">
        <f t="shared" si="33"/>
        <v/>
      </c>
      <c r="P37" s="77" t="str">
        <f t="shared" si="34"/>
        <v/>
      </c>
      <c r="Q37" s="77" t="str">
        <f t="shared" si="35"/>
        <v/>
      </c>
      <c r="R37" s="77" t="str">
        <f t="shared" si="36"/>
        <v/>
      </c>
      <c r="S37" s="8"/>
      <c r="T37" s="74">
        <f t="shared" si="37"/>
        <v>-80.134330559999924</v>
      </c>
      <c r="U37" s="66">
        <f t="shared" si="38"/>
        <v>26.058416670000021</v>
      </c>
      <c r="V37" s="66">
        <f t="shared" si="39"/>
        <v>1.524</v>
      </c>
      <c r="W37" s="3" t="str">
        <f t="shared" si="40"/>
        <v/>
      </c>
      <c r="X37" s="3" t="str">
        <f t="shared" si="41"/>
        <v/>
      </c>
      <c r="Y37" s="3" t="str">
        <f ca="1">IF(Data!$O$47/2+4000&lt;W37,"Beyond",IF(Data!$O$47/2&gt;W37,"Behind","Inside"))</f>
        <v>Beyond</v>
      </c>
      <c r="Z37" s="20" t="e">
        <f ca="1">IF((TAN(Data!$AA$5*PI()/180)*W37)+(Data!$O$47/2)&lt;Data!$O$47/2,Data!$O$47/2,IF((TAN(Data!$AA$5*PI()/180)*W37)+(Data!$O$47/2)&gt;250,250,(TAN(Data!$AA$5*PI()/180)*W37)+(Data!$O$47/2)))</f>
        <v>#VALUE!</v>
      </c>
      <c r="AA37" s="3" t="str">
        <f t="shared" ca="1" si="42"/>
        <v>No</v>
      </c>
      <c r="AB37" s="20" t="e">
        <f ca="1">IF(((W37-(Data!$O$47/2))/8)&gt;0,((W37-(Data!$O$47/2))/8),0)</f>
        <v>#VALUE!</v>
      </c>
      <c r="AC37" s="20" t="e">
        <f t="shared" ca="1" si="43"/>
        <v>#VALUE!</v>
      </c>
      <c r="AD37" s="3" t="str">
        <f>IF(Data!$D$29="","",IF(AND($C37="",$D37="",$E37="",$G37="",$H37="",$I37=""),"",IF(AND(Y37="Inside",AA37="Yes",AC37&gt;0),"Yes - "&amp;ROUND(AC37,2)&amp;" ft","No")))</f>
        <v/>
      </c>
      <c r="AE37" s="3" t="str">
        <f ca="1">IF(Data!$O$47/2+2000&lt;W37,"Beyond",IF(Data!$O$47/2&gt;W37,"Behind","Inside"))</f>
        <v>Beyond</v>
      </c>
      <c r="AF37" s="20" t="e">
        <f ca="1">(TAN(Data!$AA$12*PI()/180)*W37)+(Data!$O$47/2)</f>
        <v>#VALUE!</v>
      </c>
      <c r="AG37" s="3" t="e">
        <f t="shared" ca="1" si="44"/>
        <v>#VALUE!</v>
      </c>
      <c r="AH37" s="20" t="e">
        <f t="shared" ca="1" si="45"/>
        <v>#VALUE!</v>
      </c>
      <c r="AI37" s="20" t="e">
        <f t="shared" ca="1" si="46"/>
        <v>#VALUE!</v>
      </c>
      <c r="AJ37" s="3" t="str">
        <f>IF(Data!$D$29="","",IF(AND($C37="",$D37="",$E37="",$G37="",$H37="",$I37=""),"",IF(AND(AE37="Inside",AG37="Yes",AI37&gt;0),"Yes - "&amp;ROUND(AI37,2)&amp;" ft","No")))</f>
        <v/>
      </c>
      <c r="AK37" s="3" t="str">
        <f ca="1">IF(0-Data!$O$47/2&gt;W37,"Behind",IF(Data!$O$47/2+4000&lt;W37,"Beyond","Inside"))</f>
        <v>Beyond</v>
      </c>
      <c r="AL37" s="3" t="e">
        <f t="shared" ca="1" si="47"/>
        <v>#VALUE!</v>
      </c>
      <c r="AM37" s="20" t="e">
        <f t="shared" ca="1" si="48"/>
        <v>#VALUE!</v>
      </c>
      <c r="AN37" s="20" t="e">
        <f t="shared" ca="1" si="49"/>
        <v>#VALUE!</v>
      </c>
      <c r="AO37" s="3" t="str">
        <f>IF(Data!$D$29="","",IF(AND($C37="",$D37="",$E37="",$G37="",$H37="",$I37=""),"",IF(AND(AK37="Inside",AL37="Yes",AN37&gt;0),"Yes - "&amp;ROUND(AN37,2)&amp;" ft","No")))</f>
        <v/>
      </c>
      <c r="AP37" s="72" t="str">
        <f t="shared" si="50"/>
        <v/>
      </c>
      <c r="AQ37" s="72" t="str">
        <f t="shared" si="51"/>
        <v/>
      </c>
      <c r="AR37" s="72" t="str">
        <f ca="1">IF(Data!$O$47/2+4000&lt;AP37,"Beyond",IF(Data!$O$47/2&gt;AP37,"Behind","Inside"))</f>
        <v>Beyond</v>
      </c>
      <c r="AS37" s="72" t="e">
        <f ca="1">IF((TAN(Data!$AA$5*PI()/180)*AP37)+(Data!$O$47/2)&lt;Data!$O$47/2,Data!$O$47/2,IF((TAN(Data!$AA$5*PI()/180)*AP37)+(Data!$O$47/2)&gt;250,250,(TAN(Data!$AA$5*PI()/180)*AP37)+(Data!$O$47/2)))</f>
        <v>#VALUE!</v>
      </c>
      <c r="AT37" s="72" t="str">
        <f t="shared" ca="1" si="52"/>
        <v>No</v>
      </c>
      <c r="AU37" s="72" t="e">
        <f ca="1">IF(((AP37-(Data!$O$47/2))/8)&gt;0,((AP37-(Data!$O$47/2))/8),0)</f>
        <v>#VALUE!</v>
      </c>
      <c r="AV37" s="72" t="e">
        <f t="shared" ca="1" si="53"/>
        <v>#VALUE!</v>
      </c>
      <c r="AW37" s="72" t="str">
        <f>IF(Data!$D$30="","",IF(AND($C37="",$D37="",$E37="",$G37="",$H37="",$I37=""),"",IF(AND(AR37="Inside",AT37="Yes",AV37&gt;0),"Yes - "&amp;ROUND(AV37,2)&amp;" ft","No")))</f>
        <v/>
      </c>
      <c r="AX37" s="72" t="str">
        <f ca="1">IF(Data!$O$47/2+2000&lt;AP37,"Beyond",IF(Data!$O$47/2&gt;AP37,"Behind","Inside"))</f>
        <v>Beyond</v>
      </c>
      <c r="AY37" s="72" t="e">
        <f ca="1">(TAN(Data!$AA$12*PI()/180)*AP37)+(Data!$O$47/2)</f>
        <v>#VALUE!</v>
      </c>
      <c r="AZ37" s="72" t="e">
        <f t="shared" ca="1" si="54"/>
        <v>#VALUE!</v>
      </c>
      <c r="BA37" s="72" t="e">
        <f t="shared" ca="1" si="55"/>
        <v>#VALUE!</v>
      </c>
      <c r="BB37" s="72" t="e">
        <f t="shared" ca="1" si="56"/>
        <v>#VALUE!</v>
      </c>
      <c r="BC37" s="72" t="str">
        <f>IF(Data!$D$30="","",IF(AND($C37="",$D37="",$E37="",$G37="",$H37="",$I37=""),"",IF(AND(AX37="Inside",AZ37="Yes",BB37&gt;0),"Yes - "&amp;ROUND(BB37,2)&amp;" ft","No")))</f>
        <v/>
      </c>
      <c r="BD37" s="72" t="str">
        <f ca="1">IF(0-Data!$O$47/2&gt;AP37,"Behind",IF(Data!$O$47/2+4000&lt;AP37,"Beyond","Inside"))</f>
        <v>Beyond</v>
      </c>
      <c r="BE37" s="72" t="e">
        <f t="shared" ca="1" si="57"/>
        <v>#VALUE!</v>
      </c>
      <c r="BF37" s="72" t="e">
        <f t="shared" ca="1" si="58"/>
        <v>#VALUE!</v>
      </c>
      <c r="BG37" s="72" t="e">
        <f t="shared" ca="1" si="59"/>
        <v>#VALUE!</v>
      </c>
      <c r="BH37" s="72" t="str">
        <f>IF(Data!$D$30="","",IF(AND($C37="",$D37="",$E37="",$G37="",$H37="",$I37=""),"",IF(AND(BD37="Inside",BE37="Yes",BG37&gt;0),"Yes - "&amp;ROUND(BG37,2)&amp;" ft","No")))</f>
        <v/>
      </c>
      <c r="BI37" s="3" t="str">
        <f t="shared" si="60"/>
        <v/>
      </c>
      <c r="BJ37" s="3" t="str">
        <f t="shared" si="61"/>
        <v/>
      </c>
      <c r="BK37" s="3" t="str">
        <f ca="1">IF(Data!$O$47/2+4000&lt;BI37,"Beyond",IF(Data!$O$47/2&gt;BI37,"Behind","Inside"))</f>
        <v>Beyond</v>
      </c>
      <c r="BL37" s="20" t="e">
        <f ca="1">IF((TAN(Data!$AA$5*PI()/180)*BI37)+(Data!$O$47/2)&lt;Data!$O$47/2,Data!$O$47/2,IF((TAN(Data!$AA$5*PI()/180)*BI37)+(Data!$O$47/2)&gt;250,250,(TAN(Data!$AA$5*PI()/180)*BI37)+(Data!$O$47/2)))</f>
        <v>#VALUE!</v>
      </c>
      <c r="BM37" s="3" t="str">
        <f t="shared" ca="1" si="62"/>
        <v>No</v>
      </c>
      <c r="BN37" s="20" t="e">
        <f ca="1">IF(((BI37-(Data!$O$47/2))/8)&gt;0,((BI37-(Data!$O$47/2))/8),0)</f>
        <v>#VALUE!</v>
      </c>
      <c r="BO37" s="20" t="e">
        <f t="shared" ca="1" si="63"/>
        <v>#VALUE!</v>
      </c>
      <c r="BP37" s="3" t="str">
        <f>IF(Data!$D$31="","",IF(AND($C37="",$D37="",$E37="",$G37="",$H37="",$I37=""),"",IF(AND(BK37="Inside",BM37="Yes",BO37&gt;0),"Yes - "&amp;ROUND(BO37,2)&amp;" ft","No")))</f>
        <v/>
      </c>
      <c r="BQ37" s="3" t="str">
        <f ca="1">IF(Data!$O$47/2+2000&lt;BI37,"Beyond",IF(Data!$O$47/2&gt;BI37,"Behind","Inside"))</f>
        <v>Beyond</v>
      </c>
      <c r="BR37" s="20" t="e">
        <f ca="1">(TAN(Data!$AA$12*PI()/180)*BI37)+(Data!$O$47/2)</f>
        <v>#VALUE!</v>
      </c>
      <c r="BS37" s="3" t="e">
        <f t="shared" ca="1" si="64"/>
        <v>#VALUE!</v>
      </c>
      <c r="BT37" s="20" t="e">
        <f t="shared" ca="1" si="65"/>
        <v>#VALUE!</v>
      </c>
      <c r="BU37" s="20" t="e">
        <f t="shared" ca="1" si="66"/>
        <v>#VALUE!</v>
      </c>
      <c r="BV37" s="3" t="str">
        <f>IF(Data!$D$31="","",IF(AND($C37="",$D37="",$E37="",$G37="",$H37="",$I37=""),"",IF(AND(BQ37="Inside",BS37="Yes",BU37&gt;0),"Yes - "&amp;ROUND(BU37,2)&amp;" ft","No")))</f>
        <v/>
      </c>
      <c r="BW37" s="3" t="str">
        <f ca="1">IF(0-Data!$O$47/2&gt;BI37,"Behind",IF(Data!$O$47/2+4000&lt;BI37,"Beyond","Inside"))</f>
        <v>Beyond</v>
      </c>
      <c r="BX37" s="3" t="e">
        <f t="shared" ca="1" si="67"/>
        <v>#VALUE!</v>
      </c>
      <c r="BY37" s="20" t="e">
        <f t="shared" ca="1" si="68"/>
        <v>#VALUE!</v>
      </c>
      <c r="BZ37" s="20" t="e">
        <f t="shared" ca="1" si="69"/>
        <v>#VALUE!</v>
      </c>
      <c r="CA37" s="3" t="str">
        <f>IF(Data!$D$31="","",IF(AND($C37="",$D37="",$E37="",$G37="",$H37="",$I37=""),"",IF(AND(BW37="Inside",BX37="Yes",BZ37&gt;0),"Yes - "&amp;ROUND(BZ37,2)&amp;" ft","No")))</f>
        <v/>
      </c>
      <c r="CB37" s="9"/>
      <c r="CC37" t="str">
        <f t="shared" si="70"/>
        <v>No</v>
      </c>
      <c r="CD37" s="62" t="s">
        <v>543</v>
      </c>
      <c r="CE37" s="63">
        <f t="shared" si="7"/>
        <v>0</v>
      </c>
      <c r="CF37" s="63">
        <f t="shared" si="5"/>
        <v>260330.3</v>
      </c>
      <c r="CG37" s="63">
        <f t="shared" si="6"/>
        <v>800803.59</v>
      </c>
      <c r="CH37" s="63">
        <f t="shared" si="24"/>
        <v>354</v>
      </c>
      <c r="CI37" s="63">
        <f t="shared" si="9"/>
        <v>0</v>
      </c>
      <c r="CJ37" s="63">
        <f t="shared" si="10"/>
        <v>0.45480516874807703</v>
      </c>
      <c r="CK37" s="63">
        <f t="shared" si="11"/>
        <v>1.39860791215351</v>
      </c>
      <c r="CL37" s="63">
        <f t="shared" si="25"/>
        <v>354</v>
      </c>
      <c r="CM37" s="63">
        <f t="shared" si="26"/>
        <v>6.1784655520599303</v>
      </c>
      <c r="CN37" s="63">
        <f t="shared" si="12"/>
        <v>0</v>
      </c>
      <c r="CO37" s="63">
        <f t="shared" si="13"/>
        <v>1.00543891812539</v>
      </c>
      <c r="CP37" s="63">
        <f t="shared" si="14"/>
        <v>0</v>
      </c>
      <c r="CQ37" s="63">
        <f t="shared" si="15"/>
        <v>0.45480516874807703</v>
      </c>
      <c r="CR37" s="63">
        <f t="shared" si="16"/>
        <v>0</v>
      </c>
      <c r="CS37" s="63">
        <f t="shared" si="17"/>
        <v>0.45480516874807703</v>
      </c>
      <c r="CT37" s="63">
        <f t="shared" si="18"/>
        <v>1.39860791215351</v>
      </c>
      <c r="CU37" s="63">
        <f t="shared" si="19"/>
        <v>9.3200582056497208</v>
      </c>
      <c r="CV37" s="63">
        <f t="shared" si="20"/>
        <v>26.058416670000021</v>
      </c>
      <c r="CW37" s="63">
        <f t="shared" si="21"/>
        <v>80.134330559999924</v>
      </c>
      <c r="CX37" s="63">
        <f t="shared" si="22"/>
        <v>260330.30001199999</v>
      </c>
      <c r="CY37" s="63">
        <f t="shared" si="23"/>
        <v>800803.59001599997</v>
      </c>
    </row>
    <row r="38" spans="1:103" x14ac:dyDescent="0.25">
      <c r="A38" s="67">
        <v>28</v>
      </c>
      <c r="B38" s="84"/>
      <c r="C38" s="84"/>
      <c r="D38" s="84"/>
      <c r="E38" s="84"/>
      <c r="F38" s="109" t="str">
        <f t="shared" si="27"/>
        <v/>
      </c>
      <c r="G38" s="81"/>
      <c r="H38" s="81"/>
      <c r="I38" s="85"/>
      <c r="J38" s="77" t="str">
        <f t="shared" si="28"/>
        <v/>
      </c>
      <c r="K38" s="77" t="str">
        <f t="shared" si="29"/>
        <v/>
      </c>
      <c r="L38" s="77" t="str">
        <f t="shared" si="30"/>
        <v/>
      </c>
      <c r="M38" s="79" t="str">
        <f t="shared" si="31"/>
        <v/>
      </c>
      <c r="N38" s="79" t="str">
        <f t="shared" si="32"/>
        <v/>
      </c>
      <c r="O38" s="79" t="str">
        <f t="shared" si="33"/>
        <v/>
      </c>
      <c r="P38" s="77" t="str">
        <f t="shared" si="34"/>
        <v/>
      </c>
      <c r="Q38" s="77" t="str">
        <f t="shared" si="35"/>
        <v/>
      </c>
      <c r="R38" s="77" t="str">
        <f t="shared" si="36"/>
        <v/>
      </c>
      <c r="S38" s="8"/>
      <c r="T38" s="74">
        <f t="shared" si="37"/>
        <v>-80.134330559999924</v>
      </c>
      <c r="U38" s="66">
        <f t="shared" si="38"/>
        <v>26.058416670000021</v>
      </c>
      <c r="V38" s="66">
        <f t="shared" si="39"/>
        <v>1.524</v>
      </c>
      <c r="W38" s="3" t="str">
        <f t="shared" si="40"/>
        <v/>
      </c>
      <c r="X38" s="3" t="str">
        <f t="shared" si="41"/>
        <v/>
      </c>
      <c r="Y38" s="3" t="str">
        <f ca="1">IF(Data!$O$47/2+4000&lt;W38,"Beyond",IF(Data!$O$47/2&gt;W38,"Behind","Inside"))</f>
        <v>Beyond</v>
      </c>
      <c r="Z38" s="20" t="e">
        <f ca="1">IF((TAN(Data!$AA$5*PI()/180)*W38)+(Data!$O$47/2)&lt;Data!$O$47/2,Data!$O$47/2,IF((TAN(Data!$AA$5*PI()/180)*W38)+(Data!$O$47/2)&gt;250,250,(TAN(Data!$AA$5*PI()/180)*W38)+(Data!$O$47/2)))</f>
        <v>#VALUE!</v>
      </c>
      <c r="AA38" s="3" t="str">
        <f t="shared" ca="1" si="42"/>
        <v>No</v>
      </c>
      <c r="AB38" s="20" t="e">
        <f ca="1">IF(((W38-(Data!$O$47/2))/8)&gt;0,((W38-(Data!$O$47/2))/8),0)</f>
        <v>#VALUE!</v>
      </c>
      <c r="AC38" s="20" t="e">
        <f t="shared" ca="1" si="43"/>
        <v>#VALUE!</v>
      </c>
      <c r="AD38" s="3" t="str">
        <f>IF(Data!$D$29="","",IF(AND($C38="",$D38="",$E38="",$G38="",$H38="",$I38=""),"",IF(AND(Y38="Inside",AA38="Yes",AC38&gt;0),"Yes - "&amp;ROUND(AC38,2)&amp;" ft","No")))</f>
        <v/>
      </c>
      <c r="AE38" s="3" t="str">
        <f ca="1">IF(Data!$O$47/2+2000&lt;W38,"Beyond",IF(Data!$O$47/2&gt;W38,"Behind","Inside"))</f>
        <v>Beyond</v>
      </c>
      <c r="AF38" s="20" t="e">
        <f ca="1">(TAN(Data!$AA$12*PI()/180)*W38)+(Data!$O$47/2)</f>
        <v>#VALUE!</v>
      </c>
      <c r="AG38" s="3" t="e">
        <f t="shared" ca="1" si="44"/>
        <v>#VALUE!</v>
      </c>
      <c r="AH38" s="20" t="e">
        <f t="shared" ca="1" si="45"/>
        <v>#VALUE!</v>
      </c>
      <c r="AI38" s="20" t="e">
        <f t="shared" ca="1" si="46"/>
        <v>#VALUE!</v>
      </c>
      <c r="AJ38" s="3" t="str">
        <f>IF(Data!$D$29="","",IF(AND($C38="",$D38="",$E38="",$G38="",$H38="",$I38=""),"",IF(AND(AE38="Inside",AG38="Yes",AI38&gt;0),"Yes - "&amp;ROUND(AI38,2)&amp;" ft","No")))</f>
        <v/>
      </c>
      <c r="AK38" s="3" t="str">
        <f ca="1">IF(0-Data!$O$47/2&gt;W38,"Behind",IF(Data!$O$47/2+4000&lt;W38,"Beyond","Inside"))</f>
        <v>Beyond</v>
      </c>
      <c r="AL38" s="3" t="e">
        <f t="shared" ca="1" si="47"/>
        <v>#VALUE!</v>
      </c>
      <c r="AM38" s="20" t="e">
        <f t="shared" ca="1" si="48"/>
        <v>#VALUE!</v>
      </c>
      <c r="AN38" s="20" t="e">
        <f t="shared" ca="1" si="49"/>
        <v>#VALUE!</v>
      </c>
      <c r="AO38" s="3" t="str">
        <f>IF(Data!$D$29="","",IF(AND($C38="",$D38="",$E38="",$G38="",$H38="",$I38=""),"",IF(AND(AK38="Inside",AL38="Yes",AN38&gt;0),"Yes - "&amp;ROUND(AN38,2)&amp;" ft","No")))</f>
        <v/>
      </c>
      <c r="AP38" s="72" t="str">
        <f t="shared" si="50"/>
        <v/>
      </c>
      <c r="AQ38" s="72" t="str">
        <f t="shared" si="51"/>
        <v/>
      </c>
      <c r="AR38" s="72" t="str">
        <f ca="1">IF(Data!$O$47/2+4000&lt;AP38,"Beyond",IF(Data!$O$47/2&gt;AP38,"Behind","Inside"))</f>
        <v>Beyond</v>
      </c>
      <c r="AS38" s="72" t="e">
        <f ca="1">IF((TAN(Data!$AA$5*PI()/180)*AP38)+(Data!$O$47/2)&lt;Data!$O$47/2,Data!$O$47/2,IF((TAN(Data!$AA$5*PI()/180)*AP38)+(Data!$O$47/2)&gt;250,250,(TAN(Data!$AA$5*PI()/180)*AP38)+(Data!$O$47/2)))</f>
        <v>#VALUE!</v>
      </c>
      <c r="AT38" s="72" t="str">
        <f t="shared" ca="1" si="52"/>
        <v>No</v>
      </c>
      <c r="AU38" s="72" t="e">
        <f ca="1">IF(((AP38-(Data!$O$47/2))/8)&gt;0,((AP38-(Data!$O$47/2))/8),0)</f>
        <v>#VALUE!</v>
      </c>
      <c r="AV38" s="72" t="e">
        <f t="shared" ca="1" si="53"/>
        <v>#VALUE!</v>
      </c>
      <c r="AW38" s="72" t="str">
        <f>IF(Data!$D$30="","",IF(AND($C38="",$D38="",$E38="",$G38="",$H38="",$I38=""),"",IF(AND(AR38="Inside",AT38="Yes",AV38&gt;0),"Yes - "&amp;ROUND(AV38,2)&amp;" ft","No")))</f>
        <v/>
      </c>
      <c r="AX38" s="72" t="str">
        <f ca="1">IF(Data!$O$47/2+2000&lt;AP38,"Beyond",IF(Data!$O$47/2&gt;AP38,"Behind","Inside"))</f>
        <v>Beyond</v>
      </c>
      <c r="AY38" s="72" t="e">
        <f ca="1">(TAN(Data!$AA$12*PI()/180)*AP38)+(Data!$O$47/2)</f>
        <v>#VALUE!</v>
      </c>
      <c r="AZ38" s="72" t="e">
        <f t="shared" ca="1" si="54"/>
        <v>#VALUE!</v>
      </c>
      <c r="BA38" s="72" t="e">
        <f t="shared" ca="1" si="55"/>
        <v>#VALUE!</v>
      </c>
      <c r="BB38" s="72" t="e">
        <f t="shared" ca="1" si="56"/>
        <v>#VALUE!</v>
      </c>
      <c r="BC38" s="72" t="str">
        <f>IF(Data!$D$30="","",IF(AND($C38="",$D38="",$E38="",$G38="",$H38="",$I38=""),"",IF(AND(AX38="Inside",AZ38="Yes",BB38&gt;0),"Yes - "&amp;ROUND(BB38,2)&amp;" ft","No")))</f>
        <v/>
      </c>
      <c r="BD38" s="72" t="str">
        <f ca="1">IF(0-Data!$O$47/2&gt;AP38,"Behind",IF(Data!$O$47/2+4000&lt;AP38,"Beyond","Inside"))</f>
        <v>Beyond</v>
      </c>
      <c r="BE38" s="72" t="e">
        <f t="shared" ca="1" si="57"/>
        <v>#VALUE!</v>
      </c>
      <c r="BF38" s="72" t="e">
        <f t="shared" ca="1" si="58"/>
        <v>#VALUE!</v>
      </c>
      <c r="BG38" s="72" t="e">
        <f t="shared" ca="1" si="59"/>
        <v>#VALUE!</v>
      </c>
      <c r="BH38" s="72" t="str">
        <f>IF(Data!$D$30="","",IF(AND($C38="",$D38="",$E38="",$G38="",$H38="",$I38=""),"",IF(AND(BD38="Inside",BE38="Yes",BG38&gt;0),"Yes - "&amp;ROUND(BG38,2)&amp;" ft","No")))</f>
        <v/>
      </c>
      <c r="BI38" s="3" t="str">
        <f t="shared" si="60"/>
        <v/>
      </c>
      <c r="BJ38" s="3" t="str">
        <f t="shared" si="61"/>
        <v/>
      </c>
      <c r="BK38" s="3" t="str">
        <f ca="1">IF(Data!$O$47/2+4000&lt;BI38,"Beyond",IF(Data!$O$47/2&gt;BI38,"Behind","Inside"))</f>
        <v>Beyond</v>
      </c>
      <c r="BL38" s="20" t="e">
        <f ca="1">IF((TAN(Data!$AA$5*PI()/180)*BI38)+(Data!$O$47/2)&lt;Data!$O$47/2,Data!$O$47/2,IF((TAN(Data!$AA$5*PI()/180)*BI38)+(Data!$O$47/2)&gt;250,250,(TAN(Data!$AA$5*PI()/180)*BI38)+(Data!$O$47/2)))</f>
        <v>#VALUE!</v>
      </c>
      <c r="BM38" s="3" t="str">
        <f t="shared" ca="1" si="62"/>
        <v>No</v>
      </c>
      <c r="BN38" s="20" t="e">
        <f ca="1">IF(((BI38-(Data!$O$47/2))/8)&gt;0,((BI38-(Data!$O$47/2))/8),0)</f>
        <v>#VALUE!</v>
      </c>
      <c r="BO38" s="20" t="e">
        <f t="shared" ca="1" si="63"/>
        <v>#VALUE!</v>
      </c>
      <c r="BP38" s="3" t="str">
        <f>IF(Data!$D$31="","",IF(AND($C38="",$D38="",$E38="",$G38="",$H38="",$I38=""),"",IF(AND(BK38="Inside",BM38="Yes",BO38&gt;0),"Yes - "&amp;ROUND(BO38,2)&amp;" ft","No")))</f>
        <v/>
      </c>
      <c r="BQ38" s="3" t="str">
        <f ca="1">IF(Data!$O$47/2+2000&lt;BI38,"Beyond",IF(Data!$O$47/2&gt;BI38,"Behind","Inside"))</f>
        <v>Beyond</v>
      </c>
      <c r="BR38" s="20" t="e">
        <f ca="1">(TAN(Data!$AA$12*PI()/180)*BI38)+(Data!$O$47/2)</f>
        <v>#VALUE!</v>
      </c>
      <c r="BS38" s="3" t="e">
        <f t="shared" ca="1" si="64"/>
        <v>#VALUE!</v>
      </c>
      <c r="BT38" s="20" t="e">
        <f t="shared" ca="1" si="65"/>
        <v>#VALUE!</v>
      </c>
      <c r="BU38" s="20" t="e">
        <f t="shared" ca="1" si="66"/>
        <v>#VALUE!</v>
      </c>
      <c r="BV38" s="3" t="str">
        <f>IF(Data!$D$31="","",IF(AND($C38="",$D38="",$E38="",$G38="",$H38="",$I38=""),"",IF(AND(BQ38="Inside",BS38="Yes",BU38&gt;0),"Yes - "&amp;ROUND(BU38,2)&amp;" ft","No")))</f>
        <v/>
      </c>
      <c r="BW38" s="3" t="str">
        <f ca="1">IF(0-Data!$O$47/2&gt;BI38,"Behind",IF(Data!$O$47/2+4000&lt;BI38,"Beyond","Inside"))</f>
        <v>Beyond</v>
      </c>
      <c r="BX38" s="3" t="e">
        <f t="shared" ca="1" si="67"/>
        <v>#VALUE!</v>
      </c>
      <c r="BY38" s="20" t="e">
        <f t="shared" ca="1" si="68"/>
        <v>#VALUE!</v>
      </c>
      <c r="BZ38" s="20" t="e">
        <f t="shared" ca="1" si="69"/>
        <v>#VALUE!</v>
      </c>
      <c r="CA38" s="3" t="str">
        <f>IF(Data!$D$31="","",IF(AND($C38="",$D38="",$E38="",$G38="",$H38="",$I38=""),"",IF(AND(BW38="Inside",BX38="Yes",BZ38&gt;0),"Yes - "&amp;ROUND(BZ38,2)&amp;" ft","No")))</f>
        <v/>
      </c>
      <c r="CB38" s="9"/>
      <c r="CC38" t="str">
        <f t="shared" si="70"/>
        <v>No</v>
      </c>
      <c r="CD38" s="62" t="s">
        <v>544</v>
      </c>
      <c r="CE38" s="63">
        <f t="shared" si="7"/>
        <v>0</v>
      </c>
      <c r="CF38" s="63">
        <f t="shared" si="5"/>
        <v>260330.3</v>
      </c>
      <c r="CG38" s="63">
        <f t="shared" si="6"/>
        <v>800803.59</v>
      </c>
      <c r="CH38" s="63">
        <f t="shared" si="24"/>
        <v>354</v>
      </c>
      <c r="CI38" s="63">
        <f t="shared" si="9"/>
        <v>0</v>
      </c>
      <c r="CJ38" s="63">
        <f t="shared" si="10"/>
        <v>0.45480516874807703</v>
      </c>
      <c r="CK38" s="63">
        <f t="shared" si="11"/>
        <v>1.39860791215351</v>
      </c>
      <c r="CL38" s="63">
        <f t="shared" si="25"/>
        <v>354</v>
      </c>
      <c r="CM38" s="63">
        <f t="shared" si="26"/>
        <v>6.1784655520599303</v>
      </c>
      <c r="CN38" s="63">
        <f t="shared" si="12"/>
        <v>0</v>
      </c>
      <c r="CO38" s="63">
        <f t="shared" si="13"/>
        <v>1.00543891812539</v>
      </c>
      <c r="CP38" s="63">
        <f t="shared" si="14"/>
        <v>0</v>
      </c>
      <c r="CQ38" s="63">
        <f t="shared" si="15"/>
        <v>0.45480516874807703</v>
      </c>
      <c r="CR38" s="63">
        <f t="shared" si="16"/>
        <v>0</v>
      </c>
      <c r="CS38" s="63">
        <f t="shared" si="17"/>
        <v>0.45480516874807703</v>
      </c>
      <c r="CT38" s="63">
        <f t="shared" si="18"/>
        <v>1.39860791215351</v>
      </c>
      <c r="CU38" s="63">
        <f t="shared" si="19"/>
        <v>9.3200582056497208</v>
      </c>
      <c r="CV38" s="63">
        <f t="shared" si="20"/>
        <v>26.058416670000021</v>
      </c>
      <c r="CW38" s="63">
        <f t="shared" si="21"/>
        <v>80.134330559999924</v>
      </c>
      <c r="CX38" s="63">
        <f t="shared" si="22"/>
        <v>260330.30001199999</v>
      </c>
      <c r="CY38" s="63">
        <f t="shared" si="23"/>
        <v>800803.59001599997</v>
      </c>
    </row>
    <row r="39" spans="1:103" x14ac:dyDescent="0.25">
      <c r="A39" s="67">
        <v>29</v>
      </c>
      <c r="B39" s="84"/>
      <c r="C39" s="84"/>
      <c r="D39" s="84"/>
      <c r="E39" s="84"/>
      <c r="F39" s="109" t="str">
        <f t="shared" si="27"/>
        <v/>
      </c>
      <c r="G39" s="81"/>
      <c r="H39" s="81"/>
      <c r="I39" s="85"/>
      <c r="J39" s="77" t="str">
        <f t="shared" si="28"/>
        <v/>
      </c>
      <c r="K39" s="77" t="str">
        <f t="shared" si="29"/>
        <v/>
      </c>
      <c r="L39" s="77" t="str">
        <f t="shared" si="30"/>
        <v/>
      </c>
      <c r="M39" s="79" t="str">
        <f t="shared" si="31"/>
        <v/>
      </c>
      <c r="N39" s="79" t="str">
        <f t="shared" si="32"/>
        <v/>
      </c>
      <c r="O39" s="79" t="str">
        <f t="shared" si="33"/>
        <v/>
      </c>
      <c r="P39" s="77" t="str">
        <f t="shared" si="34"/>
        <v/>
      </c>
      <c r="Q39" s="77" t="str">
        <f t="shared" si="35"/>
        <v/>
      </c>
      <c r="R39" s="77" t="str">
        <f t="shared" si="36"/>
        <v/>
      </c>
      <c r="S39" s="8"/>
      <c r="T39" s="74">
        <f t="shared" si="37"/>
        <v>-80.134330559999924</v>
      </c>
      <c r="U39" s="66">
        <f t="shared" si="38"/>
        <v>26.058416670000021</v>
      </c>
      <c r="V39" s="66">
        <f t="shared" si="39"/>
        <v>1.524</v>
      </c>
      <c r="W39" s="3" t="str">
        <f t="shared" si="40"/>
        <v/>
      </c>
      <c r="X39" s="3" t="str">
        <f t="shared" si="41"/>
        <v/>
      </c>
      <c r="Y39" s="3" t="str">
        <f ca="1">IF(Data!$O$47/2+4000&lt;W39,"Beyond",IF(Data!$O$47/2&gt;W39,"Behind","Inside"))</f>
        <v>Beyond</v>
      </c>
      <c r="Z39" s="20" t="e">
        <f ca="1">IF((TAN(Data!$AA$5*PI()/180)*W39)+(Data!$O$47/2)&lt;Data!$O$47/2,Data!$O$47/2,IF((TAN(Data!$AA$5*PI()/180)*W39)+(Data!$O$47/2)&gt;250,250,(TAN(Data!$AA$5*PI()/180)*W39)+(Data!$O$47/2)))</f>
        <v>#VALUE!</v>
      </c>
      <c r="AA39" s="3" t="str">
        <f t="shared" ca="1" si="42"/>
        <v>No</v>
      </c>
      <c r="AB39" s="20" t="e">
        <f ca="1">IF(((W39-(Data!$O$47/2))/8)&gt;0,((W39-(Data!$O$47/2))/8),0)</f>
        <v>#VALUE!</v>
      </c>
      <c r="AC39" s="20" t="e">
        <f t="shared" ca="1" si="43"/>
        <v>#VALUE!</v>
      </c>
      <c r="AD39" s="3" t="str">
        <f>IF(Data!$D$29="","",IF(AND($C39="",$D39="",$E39="",$G39="",$H39="",$I39=""),"",IF(AND(Y39="Inside",AA39="Yes",AC39&gt;0),"Yes - "&amp;ROUND(AC39,2)&amp;" ft","No")))</f>
        <v/>
      </c>
      <c r="AE39" s="3" t="str">
        <f ca="1">IF(Data!$O$47/2+2000&lt;W39,"Beyond",IF(Data!$O$47/2&gt;W39,"Behind","Inside"))</f>
        <v>Beyond</v>
      </c>
      <c r="AF39" s="20" t="e">
        <f ca="1">(TAN(Data!$AA$12*PI()/180)*W39)+(Data!$O$47/2)</f>
        <v>#VALUE!</v>
      </c>
      <c r="AG39" s="3" t="e">
        <f t="shared" ca="1" si="44"/>
        <v>#VALUE!</v>
      </c>
      <c r="AH39" s="20" t="e">
        <f t="shared" ca="1" si="45"/>
        <v>#VALUE!</v>
      </c>
      <c r="AI39" s="20" t="e">
        <f t="shared" ca="1" si="46"/>
        <v>#VALUE!</v>
      </c>
      <c r="AJ39" s="3" t="str">
        <f>IF(Data!$D$29="","",IF(AND($C39="",$D39="",$E39="",$G39="",$H39="",$I39=""),"",IF(AND(AE39="Inside",AG39="Yes",AI39&gt;0),"Yes - "&amp;ROUND(AI39,2)&amp;" ft","No")))</f>
        <v/>
      </c>
      <c r="AK39" s="3" t="str">
        <f ca="1">IF(0-Data!$O$47/2&gt;W39,"Behind",IF(Data!$O$47/2+4000&lt;W39,"Beyond","Inside"))</f>
        <v>Beyond</v>
      </c>
      <c r="AL39" s="3" t="e">
        <f t="shared" ca="1" si="47"/>
        <v>#VALUE!</v>
      </c>
      <c r="AM39" s="20" t="e">
        <f t="shared" ca="1" si="48"/>
        <v>#VALUE!</v>
      </c>
      <c r="AN39" s="20" t="e">
        <f t="shared" ca="1" si="49"/>
        <v>#VALUE!</v>
      </c>
      <c r="AO39" s="3" t="str">
        <f>IF(Data!$D$29="","",IF(AND($C39="",$D39="",$E39="",$G39="",$H39="",$I39=""),"",IF(AND(AK39="Inside",AL39="Yes",AN39&gt;0),"Yes - "&amp;ROUND(AN39,2)&amp;" ft","No")))</f>
        <v/>
      </c>
      <c r="AP39" s="72" t="str">
        <f t="shared" si="50"/>
        <v/>
      </c>
      <c r="AQ39" s="72" t="str">
        <f t="shared" si="51"/>
        <v/>
      </c>
      <c r="AR39" s="72" t="str">
        <f ca="1">IF(Data!$O$47/2+4000&lt;AP39,"Beyond",IF(Data!$O$47/2&gt;AP39,"Behind","Inside"))</f>
        <v>Beyond</v>
      </c>
      <c r="AS39" s="72" t="e">
        <f ca="1">IF((TAN(Data!$AA$5*PI()/180)*AP39)+(Data!$O$47/2)&lt;Data!$O$47/2,Data!$O$47/2,IF((TAN(Data!$AA$5*PI()/180)*AP39)+(Data!$O$47/2)&gt;250,250,(TAN(Data!$AA$5*PI()/180)*AP39)+(Data!$O$47/2)))</f>
        <v>#VALUE!</v>
      </c>
      <c r="AT39" s="72" t="str">
        <f t="shared" ca="1" si="52"/>
        <v>No</v>
      </c>
      <c r="AU39" s="72" t="e">
        <f ca="1">IF(((AP39-(Data!$O$47/2))/8)&gt;0,((AP39-(Data!$O$47/2))/8),0)</f>
        <v>#VALUE!</v>
      </c>
      <c r="AV39" s="72" t="e">
        <f t="shared" ca="1" si="53"/>
        <v>#VALUE!</v>
      </c>
      <c r="AW39" s="72" t="str">
        <f>IF(Data!$D$30="","",IF(AND($C39="",$D39="",$E39="",$G39="",$H39="",$I39=""),"",IF(AND(AR39="Inside",AT39="Yes",AV39&gt;0),"Yes - "&amp;ROUND(AV39,2)&amp;" ft","No")))</f>
        <v/>
      </c>
      <c r="AX39" s="72" t="str">
        <f ca="1">IF(Data!$O$47/2+2000&lt;AP39,"Beyond",IF(Data!$O$47/2&gt;AP39,"Behind","Inside"))</f>
        <v>Beyond</v>
      </c>
      <c r="AY39" s="72" t="e">
        <f ca="1">(TAN(Data!$AA$12*PI()/180)*AP39)+(Data!$O$47/2)</f>
        <v>#VALUE!</v>
      </c>
      <c r="AZ39" s="72" t="e">
        <f t="shared" ca="1" si="54"/>
        <v>#VALUE!</v>
      </c>
      <c r="BA39" s="72" t="e">
        <f t="shared" ca="1" si="55"/>
        <v>#VALUE!</v>
      </c>
      <c r="BB39" s="72" t="e">
        <f t="shared" ca="1" si="56"/>
        <v>#VALUE!</v>
      </c>
      <c r="BC39" s="72" t="str">
        <f>IF(Data!$D$30="","",IF(AND($C39="",$D39="",$E39="",$G39="",$H39="",$I39=""),"",IF(AND(AX39="Inside",AZ39="Yes",BB39&gt;0),"Yes - "&amp;ROUND(BB39,2)&amp;" ft","No")))</f>
        <v/>
      </c>
      <c r="BD39" s="72" t="str">
        <f ca="1">IF(0-Data!$O$47/2&gt;AP39,"Behind",IF(Data!$O$47/2+4000&lt;AP39,"Beyond","Inside"))</f>
        <v>Beyond</v>
      </c>
      <c r="BE39" s="72" t="e">
        <f t="shared" ca="1" si="57"/>
        <v>#VALUE!</v>
      </c>
      <c r="BF39" s="72" t="e">
        <f t="shared" ca="1" si="58"/>
        <v>#VALUE!</v>
      </c>
      <c r="BG39" s="72" t="e">
        <f t="shared" ca="1" si="59"/>
        <v>#VALUE!</v>
      </c>
      <c r="BH39" s="72" t="str">
        <f>IF(Data!$D$30="","",IF(AND($C39="",$D39="",$E39="",$G39="",$H39="",$I39=""),"",IF(AND(BD39="Inside",BE39="Yes",BG39&gt;0),"Yes - "&amp;ROUND(BG39,2)&amp;" ft","No")))</f>
        <v/>
      </c>
      <c r="BI39" s="3" t="str">
        <f t="shared" si="60"/>
        <v/>
      </c>
      <c r="BJ39" s="3" t="str">
        <f t="shared" si="61"/>
        <v/>
      </c>
      <c r="BK39" s="3" t="str">
        <f ca="1">IF(Data!$O$47/2+4000&lt;BI39,"Beyond",IF(Data!$O$47/2&gt;BI39,"Behind","Inside"))</f>
        <v>Beyond</v>
      </c>
      <c r="BL39" s="20" t="e">
        <f ca="1">IF((TAN(Data!$AA$5*PI()/180)*BI39)+(Data!$O$47/2)&lt;Data!$O$47/2,Data!$O$47/2,IF((TAN(Data!$AA$5*PI()/180)*BI39)+(Data!$O$47/2)&gt;250,250,(TAN(Data!$AA$5*PI()/180)*BI39)+(Data!$O$47/2)))</f>
        <v>#VALUE!</v>
      </c>
      <c r="BM39" s="3" t="str">
        <f t="shared" ca="1" si="62"/>
        <v>No</v>
      </c>
      <c r="BN39" s="20" t="e">
        <f ca="1">IF(((BI39-(Data!$O$47/2))/8)&gt;0,((BI39-(Data!$O$47/2))/8),0)</f>
        <v>#VALUE!</v>
      </c>
      <c r="BO39" s="20" t="e">
        <f t="shared" ca="1" si="63"/>
        <v>#VALUE!</v>
      </c>
      <c r="BP39" s="3" t="str">
        <f>IF(Data!$D$31="","",IF(AND($C39="",$D39="",$E39="",$G39="",$H39="",$I39=""),"",IF(AND(BK39="Inside",BM39="Yes",BO39&gt;0),"Yes - "&amp;ROUND(BO39,2)&amp;" ft","No")))</f>
        <v/>
      </c>
      <c r="BQ39" s="3" t="str">
        <f ca="1">IF(Data!$O$47/2+2000&lt;BI39,"Beyond",IF(Data!$O$47/2&gt;BI39,"Behind","Inside"))</f>
        <v>Beyond</v>
      </c>
      <c r="BR39" s="20" t="e">
        <f ca="1">(TAN(Data!$AA$12*PI()/180)*BI39)+(Data!$O$47/2)</f>
        <v>#VALUE!</v>
      </c>
      <c r="BS39" s="3" t="e">
        <f t="shared" ca="1" si="64"/>
        <v>#VALUE!</v>
      </c>
      <c r="BT39" s="20" t="e">
        <f t="shared" ca="1" si="65"/>
        <v>#VALUE!</v>
      </c>
      <c r="BU39" s="20" t="e">
        <f t="shared" ca="1" si="66"/>
        <v>#VALUE!</v>
      </c>
      <c r="BV39" s="3" t="str">
        <f>IF(Data!$D$31="","",IF(AND($C39="",$D39="",$E39="",$G39="",$H39="",$I39=""),"",IF(AND(BQ39="Inside",BS39="Yes",BU39&gt;0),"Yes - "&amp;ROUND(BU39,2)&amp;" ft","No")))</f>
        <v/>
      </c>
      <c r="BW39" s="3" t="str">
        <f ca="1">IF(0-Data!$O$47/2&gt;BI39,"Behind",IF(Data!$O$47/2+4000&lt;BI39,"Beyond","Inside"))</f>
        <v>Beyond</v>
      </c>
      <c r="BX39" s="3" t="e">
        <f t="shared" ca="1" si="67"/>
        <v>#VALUE!</v>
      </c>
      <c r="BY39" s="20" t="e">
        <f t="shared" ca="1" si="68"/>
        <v>#VALUE!</v>
      </c>
      <c r="BZ39" s="20" t="e">
        <f t="shared" ca="1" si="69"/>
        <v>#VALUE!</v>
      </c>
      <c r="CA39" s="3" t="str">
        <f>IF(Data!$D$31="","",IF(AND($C39="",$D39="",$E39="",$G39="",$H39="",$I39=""),"",IF(AND(BW39="Inside",BX39="Yes",BZ39&gt;0),"Yes - "&amp;ROUND(BZ39,2)&amp;" ft","No")))</f>
        <v/>
      </c>
      <c r="CB39" s="9"/>
      <c r="CC39" t="str">
        <f t="shared" si="70"/>
        <v>No</v>
      </c>
      <c r="CD39" s="62" t="s">
        <v>545</v>
      </c>
      <c r="CE39" s="63">
        <f t="shared" si="7"/>
        <v>0</v>
      </c>
      <c r="CF39" s="63">
        <f t="shared" si="5"/>
        <v>260330.3</v>
      </c>
      <c r="CG39" s="63">
        <f t="shared" si="6"/>
        <v>800803.59</v>
      </c>
      <c r="CH39" s="63">
        <f t="shared" si="24"/>
        <v>354</v>
      </c>
      <c r="CI39" s="63">
        <f t="shared" si="9"/>
        <v>0</v>
      </c>
      <c r="CJ39" s="63">
        <f t="shared" si="10"/>
        <v>0.45480516874807703</v>
      </c>
      <c r="CK39" s="63">
        <f t="shared" si="11"/>
        <v>1.39860791215351</v>
      </c>
      <c r="CL39" s="63">
        <f t="shared" si="25"/>
        <v>354</v>
      </c>
      <c r="CM39" s="63">
        <f t="shared" si="26"/>
        <v>6.1784655520599303</v>
      </c>
      <c r="CN39" s="63">
        <f t="shared" si="12"/>
        <v>0</v>
      </c>
      <c r="CO39" s="63">
        <f t="shared" si="13"/>
        <v>1.00543891812539</v>
      </c>
      <c r="CP39" s="63">
        <f t="shared" si="14"/>
        <v>0</v>
      </c>
      <c r="CQ39" s="63">
        <f t="shared" si="15"/>
        <v>0.45480516874807703</v>
      </c>
      <c r="CR39" s="63">
        <f t="shared" si="16"/>
        <v>0</v>
      </c>
      <c r="CS39" s="63">
        <f t="shared" si="17"/>
        <v>0.45480516874807703</v>
      </c>
      <c r="CT39" s="63">
        <f t="shared" si="18"/>
        <v>1.39860791215351</v>
      </c>
      <c r="CU39" s="63">
        <f t="shared" si="19"/>
        <v>9.3200582056497208</v>
      </c>
      <c r="CV39" s="63">
        <f t="shared" si="20"/>
        <v>26.058416670000021</v>
      </c>
      <c r="CW39" s="63">
        <f t="shared" si="21"/>
        <v>80.134330559999924</v>
      </c>
      <c r="CX39" s="63">
        <f t="shared" si="22"/>
        <v>260330.30001199999</v>
      </c>
      <c r="CY39" s="63">
        <f t="shared" si="23"/>
        <v>800803.59001599997</v>
      </c>
    </row>
    <row r="40" spans="1:103" x14ac:dyDescent="0.25">
      <c r="A40" s="67">
        <v>30</v>
      </c>
      <c r="B40" s="84"/>
      <c r="C40" s="84"/>
      <c r="D40" s="84"/>
      <c r="E40" s="84"/>
      <c r="F40" s="109" t="str">
        <f t="shared" si="27"/>
        <v/>
      </c>
      <c r="G40" s="81"/>
      <c r="H40" s="81"/>
      <c r="I40" s="85"/>
      <c r="J40" s="77" t="str">
        <f t="shared" si="28"/>
        <v/>
      </c>
      <c r="K40" s="77" t="str">
        <f t="shared" si="29"/>
        <v/>
      </c>
      <c r="L40" s="77" t="str">
        <f t="shared" si="30"/>
        <v/>
      </c>
      <c r="M40" s="79" t="str">
        <f t="shared" si="31"/>
        <v/>
      </c>
      <c r="N40" s="79" t="str">
        <f t="shared" si="32"/>
        <v/>
      </c>
      <c r="O40" s="79" t="str">
        <f t="shared" si="33"/>
        <v/>
      </c>
      <c r="P40" s="77" t="str">
        <f t="shared" si="34"/>
        <v/>
      </c>
      <c r="Q40" s="77" t="str">
        <f t="shared" si="35"/>
        <v/>
      </c>
      <c r="R40" s="77" t="str">
        <f t="shared" si="36"/>
        <v/>
      </c>
      <c r="S40" s="8"/>
      <c r="T40" s="74">
        <f t="shared" si="37"/>
        <v>-80.134330559999924</v>
      </c>
      <c r="U40" s="66">
        <f t="shared" si="38"/>
        <v>26.058416670000021</v>
      </c>
      <c r="V40" s="66">
        <f t="shared" si="39"/>
        <v>1.524</v>
      </c>
      <c r="W40" s="3" t="str">
        <f t="shared" si="40"/>
        <v/>
      </c>
      <c r="X40" s="3" t="str">
        <f t="shared" si="41"/>
        <v/>
      </c>
      <c r="Y40" s="3" t="str">
        <f ca="1">IF(Data!$O$47/2+4000&lt;W40,"Beyond",IF(Data!$O$47/2&gt;W40,"Behind","Inside"))</f>
        <v>Beyond</v>
      </c>
      <c r="Z40" s="20" t="e">
        <f ca="1">IF((TAN(Data!$AA$5*PI()/180)*W40)+(Data!$O$47/2)&lt;Data!$O$47/2,Data!$O$47/2,IF((TAN(Data!$AA$5*PI()/180)*W40)+(Data!$O$47/2)&gt;250,250,(TAN(Data!$AA$5*PI()/180)*W40)+(Data!$O$47/2)))</f>
        <v>#VALUE!</v>
      </c>
      <c r="AA40" s="3" t="str">
        <f t="shared" ca="1" si="42"/>
        <v>No</v>
      </c>
      <c r="AB40" s="20" t="e">
        <f ca="1">IF(((W40-(Data!$O$47/2))/8)&gt;0,((W40-(Data!$O$47/2))/8),0)</f>
        <v>#VALUE!</v>
      </c>
      <c r="AC40" s="20" t="e">
        <f t="shared" ca="1" si="43"/>
        <v>#VALUE!</v>
      </c>
      <c r="AD40" s="3" t="str">
        <f>IF(Data!$D$29="","",IF(AND($C40="",$D40="",$E40="",$G40="",$H40="",$I40=""),"",IF(AND(Y40="Inside",AA40="Yes",AC40&gt;0),"Yes - "&amp;ROUND(AC40,2)&amp;" ft","No")))</f>
        <v/>
      </c>
      <c r="AE40" s="3" t="str">
        <f ca="1">IF(Data!$O$47/2+2000&lt;W40,"Beyond",IF(Data!$O$47/2&gt;W40,"Behind","Inside"))</f>
        <v>Beyond</v>
      </c>
      <c r="AF40" s="20" t="e">
        <f ca="1">(TAN(Data!$AA$12*PI()/180)*W40)+(Data!$O$47/2)</f>
        <v>#VALUE!</v>
      </c>
      <c r="AG40" s="3" t="e">
        <f t="shared" ca="1" si="44"/>
        <v>#VALUE!</v>
      </c>
      <c r="AH40" s="20" t="e">
        <f t="shared" ca="1" si="45"/>
        <v>#VALUE!</v>
      </c>
      <c r="AI40" s="20" t="e">
        <f t="shared" ca="1" si="46"/>
        <v>#VALUE!</v>
      </c>
      <c r="AJ40" s="3" t="str">
        <f>IF(Data!$D$29="","",IF(AND($C40="",$D40="",$E40="",$G40="",$H40="",$I40=""),"",IF(AND(AE40="Inside",AG40="Yes",AI40&gt;0),"Yes - "&amp;ROUND(AI40,2)&amp;" ft","No")))</f>
        <v/>
      </c>
      <c r="AK40" s="3" t="str">
        <f ca="1">IF(0-Data!$O$47/2&gt;W40,"Behind",IF(Data!$O$47/2+4000&lt;W40,"Beyond","Inside"))</f>
        <v>Beyond</v>
      </c>
      <c r="AL40" s="3" t="e">
        <f t="shared" ca="1" si="47"/>
        <v>#VALUE!</v>
      </c>
      <c r="AM40" s="20" t="e">
        <f t="shared" ca="1" si="48"/>
        <v>#VALUE!</v>
      </c>
      <c r="AN40" s="20" t="e">
        <f t="shared" ca="1" si="49"/>
        <v>#VALUE!</v>
      </c>
      <c r="AO40" s="3" t="str">
        <f>IF(Data!$D$29="","",IF(AND($C40="",$D40="",$E40="",$G40="",$H40="",$I40=""),"",IF(AND(AK40="Inside",AL40="Yes",AN40&gt;0),"Yes - "&amp;ROUND(AN40,2)&amp;" ft","No")))</f>
        <v/>
      </c>
      <c r="AP40" s="72" t="str">
        <f t="shared" si="50"/>
        <v/>
      </c>
      <c r="AQ40" s="72" t="str">
        <f t="shared" si="51"/>
        <v/>
      </c>
      <c r="AR40" s="72" t="str">
        <f ca="1">IF(Data!$O$47/2+4000&lt;AP40,"Beyond",IF(Data!$O$47/2&gt;AP40,"Behind","Inside"))</f>
        <v>Beyond</v>
      </c>
      <c r="AS40" s="72" t="e">
        <f ca="1">IF((TAN(Data!$AA$5*PI()/180)*AP40)+(Data!$O$47/2)&lt;Data!$O$47/2,Data!$O$47/2,IF((TAN(Data!$AA$5*PI()/180)*AP40)+(Data!$O$47/2)&gt;250,250,(TAN(Data!$AA$5*PI()/180)*AP40)+(Data!$O$47/2)))</f>
        <v>#VALUE!</v>
      </c>
      <c r="AT40" s="72" t="str">
        <f t="shared" ca="1" si="52"/>
        <v>No</v>
      </c>
      <c r="AU40" s="72" t="e">
        <f ca="1">IF(((AP40-(Data!$O$47/2))/8)&gt;0,((AP40-(Data!$O$47/2))/8),0)</f>
        <v>#VALUE!</v>
      </c>
      <c r="AV40" s="72" t="e">
        <f t="shared" ca="1" si="53"/>
        <v>#VALUE!</v>
      </c>
      <c r="AW40" s="72" t="str">
        <f>IF(Data!$D$30="","",IF(AND($C40="",$D40="",$E40="",$G40="",$H40="",$I40=""),"",IF(AND(AR40="Inside",AT40="Yes",AV40&gt;0),"Yes - "&amp;ROUND(AV40,2)&amp;" ft","No")))</f>
        <v/>
      </c>
      <c r="AX40" s="72" t="str">
        <f ca="1">IF(Data!$O$47/2+2000&lt;AP40,"Beyond",IF(Data!$O$47/2&gt;AP40,"Behind","Inside"))</f>
        <v>Beyond</v>
      </c>
      <c r="AY40" s="72" t="e">
        <f ca="1">(TAN(Data!$AA$12*PI()/180)*AP40)+(Data!$O$47/2)</f>
        <v>#VALUE!</v>
      </c>
      <c r="AZ40" s="72" t="e">
        <f t="shared" ca="1" si="54"/>
        <v>#VALUE!</v>
      </c>
      <c r="BA40" s="72" t="e">
        <f t="shared" ca="1" si="55"/>
        <v>#VALUE!</v>
      </c>
      <c r="BB40" s="72" t="e">
        <f t="shared" ca="1" si="56"/>
        <v>#VALUE!</v>
      </c>
      <c r="BC40" s="72" t="str">
        <f>IF(Data!$D$30="","",IF(AND($C40="",$D40="",$E40="",$G40="",$H40="",$I40=""),"",IF(AND(AX40="Inside",AZ40="Yes",BB40&gt;0),"Yes - "&amp;ROUND(BB40,2)&amp;" ft","No")))</f>
        <v/>
      </c>
      <c r="BD40" s="72" t="str">
        <f ca="1">IF(0-Data!$O$47/2&gt;AP40,"Behind",IF(Data!$O$47/2+4000&lt;AP40,"Beyond","Inside"))</f>
        <v>Beyond</v>
      </c>
      <c r="BE40" s="72" t="e">
        <f t="shared" ca="1" si="57"/>
        <v>#VALUE!</v>
      </c>
      <c r="BF40" s="72" t="e">
        <f t="shared" ca="1" si="58"/>
        <v>#VALUE!</v>
      </c>
      <c r="BG40" s="72" t="e">
        <f t="shared" ca="1" si="59"/>
        <v>#VALUE!</v>
      </c>
      <c r="BH40" s="72" t="str">
        <f>IF(Data!$D$30="","",IF(AND($C40="",$D40="",$E40="",$G40="",$H40="",$I40=""),"",IF(AND(BD40="Inside",BE40="Yes",BG40&gt;0),"Yes - "&amp;ROUND(BG40,2)&amp;" ft","No")))</f>
        <v/>
      </c>
      <c r="BI40" s="3" t="str">
        <f t="shared" si="60"/>
        <v/>
      </c>
      <c r="BJ40" s="3" t="str">
        <f t="shared" si="61"/>
        <v/>
      </c>
      <c r="BK40" s="3" t="str">
        <f ca="1">IF(Data!$O$47/2+4000&lt;BI40,"Beyond",IF(Data!$O$47/2&gt;BI40,"Behind","Inside"))</f>
        <v>Beyond</v>
      </c>
      <c r="BL40" s="20" t="e">
        <f ca="1">IF((TAN(Data!$AA$5*PI()/180)*BI40)+(Data!$O$47/2)&lt;Data!$O$47/2,Data!$O$47/2,IF((TAN(Data!$AA$5*PI()/180)*BI40)+(Data!$O$47/2)&gt;250,250,(TAN(Data!$AA$5*PI()/180)*BI40)+(Data!$O$47/2)))</f>
        <v>#VALUE!</v>
      </c>
      <c r="BM40" s="3" t="str">
        <f t="shared" ca="1" si="62"/>
        <v>No</v>
      </c>
      <c r="BN40" s="20" t="e">
        <f ca="1">IF(((BI40-(Data!$O$47/2))/8)&gt;0,((BI40-(Data!$O$47/2))/8),0)</f>
        <v>#VALUE!</v>
      </c>
      <c r="BO40" s="20" t="e">
        <f t="shared" ca="1" si="63"/>
        <v>#VALUE!</v>
      </c>
      <c r="BP40" s="3" t="str">
        <f>IF(Data!$D$31="","",IF(AND($C40="",$D40="",$E40="",$G40="",$H40="",$I40=""),"",IF(AND(BK40="Inside",BM40="Yes",BO40&gt;0),"Yes - "&amp;ROUND(BO40,2)&amp;" ft","No")))</f>
        <v/>
      </c>
      <c r="BQ40" s="3" t="str">
        <f ca="1">IF(Data!$O$47/2+2000&lt;BI40,"Beyond",IF(Data!$O$47/2&gt;BI40,"Behind","Inside"))</f>
        <v>Beyond</v>
      </c>
      <c r="BR40" s="20" t="e">
        <f ca="1">(TAN(Data!$AA$12*PI()/180)*BI40)+(Data!$O$47/2)</f>
        <v>#VALUE!</v>
      </c>
      <c r="BS40" s="3" t="e">
        <f t="shared" ca="1" si="64"/>
        <v>#VALUE!</v>
      </c>
      <c r="BT40" s="20" t="e">
        <f t="shared" ca="1" si="65"/>
        <v>#VALUE!</v>
      </c>
      <c r="BU40" s="20" t="e">
        <f t="shared" ca="1" si="66"/>
        <v>#VALUE!</v>
      </c>
      <c r="BV40" s="3" t="str">
        <f>IF(Data!$D$31="","",IF(AND($C40="",$D40="",$E40="",$G40="",$H40="",$I40=""),"",IF(AND(BQ40="Inside",BS40="Yes",BU40&gt;0),"Yes - "&amp;ROUND(BU40,2)&amp;" ft","No")))</f>
        <v/>
      </c>
      <c r="BW40" s="3" t="str">
        <f ca="1">IF(0-Data!$O$47/2&gt;BI40,"Behind",IF(Data!$O$47/2+4000&lt;BI40,"Beyond","Inside"))</f>
        <v>Beyond</v>
      </c>
      <c r="BX40" s="3" t="e">
        <f t="shared" ca="1" si="67"/>
        <v>#VALUE!</v>
      </c>
      <c r="BY40" s="20" t="e">
        <f t="shared" ca="1" si="68"/>
        <v>#VALUE!</v>
      </c>
      <c r="BZ40" s="20" t="e">
        <f t="shared" ca="1" si="69"/>
        <v>#VALUE!</v>
      </c>
      <c r="CA40" s="3" t="str">
        <f>IF(Data!$D$31="","",IF(AND($C40="",$D40="",$E40="",$G40="",$H40="",$I40=""),"",IF(AND(BW40="Inside",BX40="Yes",BZ40&gt;0),"Yes - "&amp;ROUND(BZ40,2)&amp;" ft","No")))</f>
        <v/>
      </c>
      <c r="CB40" s="9"/>
      <c r="CC40" t="str">
        <f t="shared" si="70"/>
        <v>No</v>
      </c>
      <c r="CD40" s="62" t="s">
        <v>546</v>
      </c>
      <c r="CE40" s="63">
        <f t="shared" si="7"/>
        <v>0</v>
      </c>
      <c r="CF40" s="63">
        <f t="shared" si="5"/>
        <v>260330.3</v>
      </c>
      <c r="CG40" s="63">
        <f t="shared" si="6"/>
        <v>800803.59</v>
      </c>
      <c r="CH40" s="63">
        <f t="shared" si="24"/>
        <v>354</v>
      </c>
      <c r="CI40" s="63">
        <f t="shared" si="9"/>
        <v>0</v>
      </c>
      <c r="CJ40" s="63">
        <f t="shared" si="10"/>
        <v>0.45480516874807703</v>
      </c>
      <c r="CK40" s="63">
        <f t="shared" si="11"/>
        <v>1.39860791215351</v>
      </c>
      <c r="CL40" s="63">
        <f t="shared" si="25"/>
        <v>354</v>
      </c>
      <c r="CM40" s="63">
        <f t="shared" si="26"/>
        <v>6.1784655520599303</v>
      </c>
      <c r="CN40" s="63">
        <f t="shared" si="12"/>
        <v>0</v>
      </c>
      <c r="CO40" s="63">
        <f t="shared" si="13"/>
        <v>1.00543891812539</v>
      </c>
      <c r="CP40" s="63">
        <f t="shared" si="14"/>
        <v>0</v>
      </c>
      <c r="CQ40" s="63">
        <f t="shared" si="15"/>
        <v>0.45480516874807703</v>
      </c>
      <c r="CR40" s="63">
        <f t="shared" si="16"/>
        <v>0</v>
      </c>
      <c r="CS40" s="63">
        <f t="shared" si="17"/>
        <v>0.45480516874807703</v>
      </c>
      <c r="CT40" s="63">
        <f t="shared" si="18"/>
        <v>1.39860791215351</v>
      </c>
      <c r="CU40" s="63">
        <f t="shared" si="19"/>
        <v>9.3200582056497208</v>
      </c>
      <c r="CV40" s="63">
        <f t="shared" si="20"/>
        <v>26.058416670000021</v>
      </c>
      <c r="CW40" s="63">
        <f t="shared" si="21"/>
        <v>80.134330559999924</v>
      </c>
      <c r="CX40" s="63">
        <f t="shared" si="22"/>
        <v>260330.30001199999</v>
      </c>
      <c r="CY40" s="63">
        <f t="shared" si="23"/>
        <v>800803.59001599997</v>
      </c>
    </row>
    <row r="41" spans="1:103" x14ac:dyDescent="0.25">
      <c r="A41" s="67">
        <v>31</v>
      </c>
      <c r="B41" s="84"/>
      <c r="C41" s="84"/>
      <c r="D41" s="84"/>
      <c r="E41" s="84"/>
      <c r="F41" s="109" t="str">
        <f t="shared" si="27"/>
        <v/>
      </c>
      <c r="G41" s="81"/>
      <c r="H41" s="81"/>
      <c r="I41" s="85"/>
      <c r="J41" s="77" t="str">
        <f t="shared" si="28"/>
        <v/>
      </c>
      <c r="K41" s="77" t="str">
        <f t="shared" si="29"/>
        <v/>
      </c>
      <c r="L41" s="77" t="str">
        <f t="shared" si="30"/>
        <v/>
      </c>
      <c r="M41" s="79" t="str">
        <f t="shared" si="31"/>
        <v/>
      </c>
      <c r="N41" s="79" t="str">
        <f t="shared" si="32"/>
        <v/>
      </c>
      <c r="O41" s="79" t="str">
        <f t="shared" si="33"/>
        <v/>
      </c>
      <c r="P41" s="77" t="str">
        <f t="shared" si="34"/>
        <v/>
      </c>
      <c r="Q41" s="77" t="str">
        <f t="shared" si="35"/>
        <v/>
      </c>
      <c r="R41" s="77" t="str">
        <f t="shared" si="36"/>
        <v/>
      </c>
      <c r="S41" s="8"/>
      <c r="T41" s="74">
        <f t="shared" si="37"/>
        <v>-80.134330559999924</v>
      </c>
      <c r="U41" s="66">
        <f t="shared" si="38"/>
        <v>26.058416670000021</v>
      </c>
      <c r="V41" s="66">
        <f t="shared" si="39"/>
        <v>1.524</v>
      </c>
      <c r="W41" s="3" t="str">
        <f t="shared" si="40"/>
        <v/>
      </c>
      <c r="X41" s="3" t="str">
        <f t="shared" si="41"/>
        <v/>
      </c>
      <c r="Y41" s="3" t="str">
        <f ca="1">IF(Data!$O$47/2+4000&lt;W41,"Beyond",IF(Data!$O$47/2&gt;W41,"Behind","Inside"))</f>
        <v>Beyond</v>
      </c>
      <c r="Z41" s="20" t="e">
        <f ca="1">IF((TAN(Data!$AA$5*PI()/180)*W41)+(Data!$O$47/2)&lt;Data!$O$47/2,Data!$O$47/2,IF((TAN(Data!$AA$5*PI()/180)*W41)+(Data!$O$47/2)&gt;250,250,(TAN(Data!$AA$5*PI()/180)*W41)+(Data!$O$47/2)))</f>
        <v>#VALUE!</v>
      </c>
      <c r="AA41" s="3" t="str">
        <f t="shared" ca="1" si="42"/>
        <v>No</v>
      </c>
      <c r="AB41" s="20" t="e">
        <f ca="1">IF(((W41-(Data!$O$47/2))/8)&gt;0,((W41-(Data!$O$47/2))/8),0)</f>
        <v>#VALUE!</v>
      </c>
      <c r="AC41" s="20" t="e">
        <f t="shared" ca="1" si="43"/>
        <v>#VALUE!</v>
      </c>
      <c r="AD41" s="3" t="str">
        <f>IF(Data!$D$29="","",IF(AND($C41="",$D41="",$E41="",$G41="",$H41="",$I41=""),"",IF(AND(Y41="Inside",AA41="Yes",AC41&gt;0),"Yes - "&amp;ROUND(AC41,2)&amp;" ft","No")))</f>
        <v/>
      </c>
      <c r="AE41" s="3" t="str">
        <f ca="1">IF(Data!$O$47/2+2000&lt;W41,"Beyond",IF(Data!$O$47/2&gt;W41,"Behind","Inside"))</f>
        <v>Beyond</v>
      </c>
      <c r="AF41" s="20" t="e">
        <f ca="1">(TAN(Data!$AA$12*PI()/180)*W41)+(Data!$O$47/2)</f>
        <v>#VALUE!</v>
      </c>
      <c r="AG41" s="3" t="e">
        <f t="shared" ca="1" si="44"/>
        <v>#VALUE!</v>
      </c>
      <c r="AH41" s="20" t="e">
        <f t="shared" ca="1" si="45"/>
        <v>#VALUE!</v>
      </c>
      <c r="AI41" s="20" t="e">
        <f t="shared" ca="1" si="46"/>
        <v>#VALUE!</v>
      </c>
      <c r="AJ41" s="3" t="str">
        <f>IF(Data!$D$29="","",IF(AND($C41="",$D41="",$E41="",$G41="",$H41="",$I41=""),"",IF(AND(AE41="Inside",AG41="Yes",AI41&gt;0),"Yes - "&amp;ROUND(AI41,2)&amp;" ft","No")))</f>
        <v/>
      </c>
      <c r="AK41" s="3" t="str">
        <f ca="1">IF(0-Data!$O$47/2&gt;W41,"Behind",IF(Data!$O$47/2+4000&lt;W41,"Beyond","Inside"))</f>
        <v>Beyond</v>
      </c>
      <c r="AL41" s="3" t="e">
        <f t="shared" ca="1" si="47"/>
        <v>#VALUE!</v>
      </c>
      <c r="AM41" s="20" t="e">
        <f t="shared" ca="1" si="48"/>
        <v>#VALUE!</v>
      </c>
      <c r="AN41" s="20" t="e">
        <f t="shared" ca="1" si="49"/>
        <v>#VALUE!</v>
      </c>
      <c r="AO41" s="3" t="str">
        <f>IF(Data!$D$29="","",IF(AND($C41="",$D41="",$E41="",$G41="",$H41="",$I41=""),"",IF(AND(AK41="Inside",AL41="Yes",AN41&gt;0),"Yes - "&amp;ROUND(AN41,2)&amp;" ft","No")))</f>
        <v/>
      </c>
      <c r="AP41" s="72" t="str">
        <f t="shared" si="50"/>
        <v/>
      </c>
      <c r="AQ41" s="72" t="str">
        <f t="shared" si="51"/>
        <v/>
      </c>
      <c r="AR41" s="72" t="str">
        <f ca="1">IF(Data!$O$47/2+4000&lt;AP41,"Beyond",IF(Data!$O$47/2&gt;AP41,"Behind","Inside"))</f>
        <v>Beyond</v>
      </c>
      <c r="AS41" s="72" t="e">
        <f ca="1">IF((TAN(Data!$AA$5*PI()/180)*AP41)+(Data!$O$47/2)&lt;Data!$O$47/2,Data!$O$47/2,IF((TAN(Data!$AA$5*PI()/180)*AP41)+(Data!$O$47/2)&gt;250,250,(TAN(Data!$AA$5*PI()/180)*AP41)+(Data!$O$47/2)))</f>
        <v>#VALUE!</v>
      </c>
      <c r="AT41" s="72" t="str">
        <f t="shared" ca="1" si="52"/>
        <v>No</v>
      </c>
      <c r="AU41" s="72" t="e">
        <f ca="1">IF(((AP41-(Data!$O$47/2))/8)&gt;0,((AP41-(Data!$O$47/2))/8),0)</f>
        <v>#VALUE!</v>
      </c>
      <c r="AV41" s="72" t="e">
        <f t="shared" ca="1" si="53"/>
        <v>#VALUE!</v>
      </c>
      <c r="AW41" s="72" t="str">
        <f>IF(Data!$D$30="","",IF(AND($C41="",$D41="",$E41="",$G41="",$H41="",$I41=""),"",IF(AND(AR41="Inside",AT41="Yes",AV41&gt;0),"Yes - "&amp;ROUND(AV41,2)&amp;" ft","No")))</f>
        <v/>
      </c>
      <c r="AX41" s="72" t="str">
        <f ca="1">IF(Data!$O$47/2+2000&lt;AP41,"Beyond",IF(Data!$O$47/2&gt;AP41,"Behind","Inside"))</f>
        <v>Beyond</v>
      </c>
      <c r="AY41" s="72" t="e">
        <f ca="1">(TAN(Data!$AA$12*PI()/180)*AP41)+(Data!$O$47/2)</f>
        <v>#VALUE!</v>
      </c>
      <c r="AZ41" s="72" t="e">
        <f t="shared" ca="1" si="54"/>
        <v>#VALUE!</v>
      </c>
      <c r="BA41" s="72" t="e">
        <f t="shared" ca="1" si="55"/>
        <v>#VALUE!</v>
      </c>
      <c r="BB41" s="72" t="e">
        <f t="shared" ca="1" si="56"/>
        <v>#VALUE!</v>
      </c>
      <c r="BC41" s="72" t="str">
        <f>IF(Data!$D$30="","",IF(AND($C41="",$D41="",$E41="",$G41="",$H41="",$I41=""),"",IF(AND(AX41="Inside",AZ41="Yes",BB41&gt;0),"Yes - "&amp;ROUND(BB41,2)&amp;" ft","No")))</f>
        <v/>
      </c>
      <c r="BD41" s="72" t="str">
        <f ca="1">IF(0-Data!$O$47/2&gt;AP41,"Behind",IF(Data!$O$47/2+4000&lt;AP41,"Beyond","Inside"))</f>
        <v>Beyond</v>
      </c>
      <c r="BE41" s="72" t="e">
        <f t="shared" ca="1" si="57"/>
        <v>#VALUE!</v>
      </c>
      <c r="BF41" s="72" t="e">
        <f t="shared" ca="1" si="58"/>
        <v>#VALUE!</v>
      </c>
      <c r="BG41" s="72" t="e">
        <f t="shared" ca="1" si="59"/>
        <v>#VALUE!</v>
      </c>
      <c r="BH41" s="72" t="str">
        <f>IF(Data!$D$30="","",IF(AND($C41="",$D41="",$E41="",$G41="",$H41="",$I41=""),"",IF(AND(BD41="Inside",BE41="Yes",BG41&gt;0),"Yes - "&amp;ROUND(BG41,2)&amp;" ft","No")))</f>
        <v/>
      </c>
      <c r="BI41" s="3" t="str">
        <f t="shared" si="60"/>
        <v/>
      </c>
      <c r="BJ41" s="3" t="str">
        <f t="shared" si="61"/>
        <v/>
      </c>
      <c r="BK41" s="3" t="str">
        <f ca="1">IF(Data!$O$47/2+4000&lt;BI41,"Beyond",IF(Data!$O$47/2&gt;BI41,"Behind","Inside"))</f>
        <v>Beyond</v>
      </c>
      <c r="BL41" s="20" t="e">
        <f ca="1">IF((TAN(Data!$AA$5*PI()/180)*BI41)+(Data!$O$47/2)&lt;Data!$O$47/2,Data!$O$47/2,IF((TAN(Data!$AA$5*PI()/180)*BI41)+(Data!$O$47/2)&gt;250,250,(TAN(Data!$AA$5*PI()/180)*BI41)+(Data!$O$47/2)))</f>
        <v>#VALUE!</v>
      </c>
      <c r="BM41" s="3" t="str">
        <f t="shared" ca="1" si="62"/>
        <v>No</v>
      </c>
      <c r="BN41" s="20" t="e">
        <f ca="1">IF(((BI41-(Data!$O$47/2))/8)&gt;0,((BI41-(Data!$O$47/2))/8),0)</f>
        <v>#VALUE!</v>
      </c>
      <c r="BO41" s="20" t="e">
        <f t="shared" ca="1" si="63"/>
        <v>#VALUE!</v>
      </c>
      <c r="BP41" s="3" t="str">
        <f>IF(Data!$D$31="","",IF(AND($C41="",$D41="",$E41="",$G41="",$H41="",$I41=""),"",IF(AND(BK41="Inside",BM41="Yes",BO41&gt;0),"Yes - "&amp;ROUND(BO41,2)&amp;" ft","No")))</f>
        <v/>
      </c>
      <c r="BQ41" s="3" t="str">
        <f ca="1">IF(Data!$O$47/2+2000&lt;BI41,"Beyond",IF(Data!$O$47/2&gt;BI41,"Behind","Inside"))</f>
        <v>Beyond</v>
      </c>
      <c r="BR41" s="20" t="e">
        <f ca="1">(TAN(Data!$AA$12*PI()/180)*BI41)+(Data!$O$47/2)</f>
        <v>#VALUE!</v>
      </c>
      <c r="BS41" s="3" t="e">
        <f t="shared" ca="1" si="64"/>
        <v>#VALUE!</v>
      </c>
      <c r="BT41" s="20" t="e">
        <f t="shared" ca="1" si="65"/>
        <v>#VALUE!</v>
      </c>
      <c r="BU41" s="20" t="e">
        <f t="shared" ca="1" si="66"/>
        <v>#VALUE!</v>
      </c>
      <c r="BV41" s="3" t="str">
        <f>IF(Data!$D$31="","",IF(AND($C41="",$D41="",$E41="",$G41="",$H41="",$I41=""),"",IF(AND(BQ41="Inside",BS41="Yes",BU41&gt;0),"Yes - "&amp;ROUND(BU41,2)&amp;" ft","No")))</f>
        <v/>
      </c>
      <c r="BW41" s="3" t="str">
        <f ca="1">IF(0-Data!$O$47/2&gt;BI41,"Behind",IF(Data!$O$47/2+4000&lt;BI41,"Beyond","Inside"))</f>
        <v>Beyond</v>
      </c>
      <c r="BX41" s="3" t="e">
        <f t="shared" ca="1" si="67"/>
        <v>#VALUE!</v>
      </c>
      <c r="BY41" s="20" t="e">
        <f t="shared" ca="1" si="68"/>
        <v>#VALUE!</v>
      </c>
      <c r="BZ41" s="20" t="e">
        <f t="shared" ca="1" si="69"/>
        <v>#VALUE!</v>
      </c>
      <c r="CA41" s="3" t="str">
        <f>IF(Data!$D$31="","",IF(AND($C41="",$D41="",$E41="",$G41="",$H41="",$I41=""),"",IF(AND(BW41="Inside",BX41="Yes",BZ41&gt;0),"Yes - "&amp;ROUND(BZ41,2)&amp;" ft","No")))</f>
        <v/>
      </c>
      <c r="CB41" s="9"/>
      <c r="CC41" t="str">
        <f t="shared" si="70"/>
        <v>No</v>
      </c>
      <c r="CD41" s="62" t="s">
        <v>547</v>
      </c>
      <c r="CE41" s="63">
        <f t="shared" si="7"/>
        <v>0</v>
      </c>
      <c r="CF41" s="63">
        <f t="shared" si="5"/>
        <v>260330.3</v>
      </c>
      <c r="CG41" s="63">
        <f t="shared" si="6"/>
        <v>800803.59</v>
      </c>
      <c r="CH41" s="63">
        <f t="shared" si="24"/>
        <v>354</v>
      </c>
      <c r="CI41" s="63">
        <f t="shared" si="9"/>
        <v>0</v>
      </c>
      <c r="CJ41" s="63">
        <f t="shared" si="10"/>
        <v>0.45480516874807703</v>
      </c>
      <c r="CK41" s="63">
        <f t="shared" si="11"/>
        <v>1.39860791215351</v>
      </c>
      <c r="CL41" s="63">
        <f t="shared" si="25"/>
        <v>354</v>
      </c>
      <c r="CM41" s="63">
        <f t="shared" si="26"/>
        <v>6.1784655520599303</v>
      </c>
      <c r="CN41" s="63">
        <f t="shared" si="12"/>
        <v>0</v>
      </c>
      <c r="CO41" s="63">
        <f t="shared" si="13"/>
        <v>1.00543891812539</v>
      </c>
      <c r="CP41" s="63">
        <f t="shared" si="14"/>
        <v>0</v>
      </c>
      <c r="CQ41" s="63">
        <f t="shared" si="15"/>
        <v>0.45480516874807703</v>
      </c>
      <c r="CR41" s="63">
        <f t="shared" si="16"/>
        <v>0</v>
      </c>
      <c r="CS41" s="63">
        <f t="shared" si="17"/>
        <v>0.45480516874807703</v>
      </c>
      <c r="CT41" s="63">
        <f t="shared" si="18"/>
        <v>1.39860791215351</v>
      </c>
      <c r="CU41" s="63">
        <f t="shared" si="19"/>
        <v>9.3200582056497208</v>
      </c>
      <c r="CV41" s="63">
        <f t="shared" si="20"/>
        <v>26.058416670000021</v>
      </c>
      <c r="CW41" s="63">
        <f t="shared" si="21"/>
        <v>80.134330559999924</v>
      </c>
      <c r="CX41" s="63">
        <f t="shared" si="22"/>
        <v>260330.30001199999</v>
      </c>
      <c r="CY41" s="63">
        <f t="shared" si="23"/>
        <v>800803.59001599997</v>
      </c>
    </row>
    <row r="42" spans="1:103" x14ac:dyDescent="0.25">
      <c r="A42" s="67">
        <v>32</v>
      </c>
      <c r="B42" s="84"/>
      <c r="C42" s="84"/>
      <c r="D42" s="84"/>
      <c r="E42" s="84"/>
      <c r="F42" s="109" t="str">
        <f t="shared" si="27"/>
        <v/>
      </c>
      <c r="G42" s="81"/>
      <c r="H42" s="81"/>
      <c r="I42" s="85"/>
      <c r="J42" s="77" t="str">
        <f t="shared" si="28"/>
        <v/>
      </c>
      <c r="K42" s="77" t="str">
        <f t="shared" si="29"/>
        <v/>
      </c>
      <c r="L42" s="77" t="str">
        <f t="shared" si="30"/>
        <v/>
      </c>
      <c r="M42" s="79" t="str">
        <f t="shared" si="31"/>
        <v/>
      </c>
      <c r="N42" s="79" t="str">
        <f t="shared" si="32"/>
        <v/>
      </c>
      <c r="O42" s="79" t="str">
        <f t="shared" si="33"/>
        <v/>
      </c>
      <c r="P42" s="77" t="str">
        <f t="shared" si="34"/>
        <v/>
      </c>
      <c r="Q42" s="77" t="str">
        <f t="shared" si="35"/>
        <v/>
      </c>
      <c r="R42" s="77" t="str">
        <f t="shared" si="36"/>
        <v/>
      </c>
      <c r="S42" s="8"/>
      <c r="T42" s="74">
        <f t="shared" si="37"/>
        <v>-80.134330559999924</v>
      </c>
      <c r="U42" s="66">
        <f t="shared" si="38"/>
        <v>26.058416670000021</v>
      </c>
      <c r="V42" s="66">
        <f t="shared" si="39"/>
        <v>1.524</v>
      </c>
      <c r="W42" s="3" t="str">
        <f t="shared" si="40"/>
        <v/>
      </c>
      <c r="X42" s="3" t="str">
        <f t="shared" si="41"/>
        <v/>
      </c>
      <c r="Y42" s="3" t="str">
        <f ca="1">IF(Data!$O$47/2+4000&lt;W42,"Beyond",IF(Data!$O$47/2&gt;W42,"Behind","Inside"))</f>
        <v>Beyond</v>
      </c>
      <c r="Z42" s="20" t="e">
        <f ca="1">IF((TAN(Data!$AA$5*PI()/180)*W42)+(Data!$O$47/2)&lt;Data!$O$47/2,Data!$O$47/2,IF((TAN(Data!$AA$5*PI()/180)*W42)+(Data!$O$47/2)&gt;250,250,(TAN(Data!$AA$5*PI()/180)*W42)+(Data!$O$47/2)))</f>
        <v>#VALUE!</v>
      </c>
      <c r="AA42" s="3" t="str">
        <f t="shared" ca="1" si="42"/>
        <v>No</v>
      </c>
      <c r="AB42" s="20" t="e">
        <f ca="1">IF(((W42-(Data!$O$47/2))/8)&gt;0,((W42-(Data!$O$47/2))/8),0)</f>
        <v>#VALUE!</v>
      </c>
      <c r="AC42" s="20" t="e">
        <f t="shared" ca="1" si="43"/>
        <v>#VALUE!</v>
      </c>
      <c r="AD42" s="3" t="str">
        <f>IF(Data!$D$29="","",IF(AND($C42="",$D42="",$E42="",$G42="",$H42="",$I42=""),"",IF(AND(Y42="Inside",AA42="Yes",AC42&gt;0),"Yes - "&amp;ROUND(AC42,2)&amp;" ft","No")))</f>
        <v/>
      </c>
      <c r="AE42" s="3" t="str">
        <f ca="1">IF(Data!$O$47/2+2000&lt;W42,"Beyond",IF(Data!$O$47/2&gt;W42,"Behind","Inside"))</f>
        <v>Beyond</v>
      </c>
      <c r="AF42" s="20" t="e">
        <f ca="1">(TAN(Data!$AA$12*PI()/180)*W42)+(Data!$O$47/2)</f>
        <v>#VALUE!</v>
      </c>
      <c r="AG42" s="3" t="e">
        <f t="shared" ca="1" si="44"/>
        <v>#VALUE!</v>
      </c>
      <c r="AH42" s="20" t="e">
        <f t="shared" ca="1" si="45"/>
        <v>#VALUE!</v>
      </c>
      <c r="AI42" s="20" t="e">
        <f t="shared" ca="1" si="46"/>
        <v>#VALUE!</v>
      </c>
      <c r="AJ42" s="3" t="str">
        <f>IF(Data!$D$29="","",IF(AND($C42="",$D42="",$E42="",$G42="",$H42="",$I42=""),"",IF(AND(AE42="Inside",AG42="Yes",AI42&gt;0),"Yes - "&amp;ROUND(AI42,2)&amp;" ft","No")))</f>
        <v/>
      </c>
      <c r="AK42" s="3" t="str">
        <f ca="1">IF(0-Data!$O$47/2&gt;W42,"Behind",IF(Data!$O$47/2+4000&lt;W42,"Beyond","Inside"))</f>
        <v>Beyond</v>
      </c>
      <c r="AL42" s="3" t="e">
        <f t="shared" ca="1" si="47"/>
        <v>#VALUE!</v>
      </c>
      <c r="AM42" s="20" t="e">
        <f t="shared" ca="1" si="48"/>
        <v>#VALUE!</v>
      </c>
      <c r="AN42" s="20" t="e">
        <f t="shared" ca="1" si="49"/>
        <v>#VALUE!</v>
      </c>
      <c r="AO42" s="3" t="str">
        <f>IF(Data!$D$29="","",IF(AND($C42="",$D42="",$E42="",$G42="",$H42="",$I42=""),"",IF(AND(AK42="Inside",AL42="Yes",AN42&gt;0),"Yes - "&amp;ROUND(AN42,2)&amp;" ft","No")))</f>
        <v/>
      </c>
      <c r="AP42" s="72" t="str">
        <f t="shared" si="50"/>
        <v/>
      </c>
      <c r="AQ42" s="72" t="str">
        <f t="shared" si="51"/>
        <v/>
      </c>
      <c r="AR42" s="72" t="str">
        <f ca="1">IF(Data!$O$47/2+4000&lt;AP42,"Beyond",IF(Data!$O$47/2&gt;AP42,"Behind","Inside"))</f>
        <v>Beyond</v>
      </c>
      <c r="AS42" s="72" t="e">
        <f ca="1">IF((TAN(Data!$AA$5*PI()/180)*AP42)+(Data!$O$47/2)&lt;Data!$O$47/2,Data!$O$47/2,IF((TAN(Data!$AA$5*PI()/180)*AP42)+(Data!$O$47/2)&gt;250,250,(TAN(Data!$AA$5*PI()/180)*AP42)+(Data!$O$47/2)))</f>
        <v>#VALUE!</v>
      </c>
      <c r="AT42" s="72" t="str">
        <f t="shared" ca="1" si="52"/>
        <v>No</v>
      </c>
      <c r="AU42" s="72" t="e">
        <f ca="1">IF(((AP42-(Data!$O$47/2))/8)&gt;0,((AP42-(Data!$O$47/2))/8),0)</f>
        <v>#VALUE!</v>
      </c>
      <c r="AV42" s="72" t="e">
        <f t="shared" ca="1" si="53"/>
        <v>#VALUE!</v>
      </c>
      <c r="AW42" s="72" t="str">
        <f>IF(Data!$D$30="","",IF(AND($C42="",$D42="",$E42="",$G42="",$H42="",$I42=""),"",IF(AND(AR42="Inside",AT42="Yes",AV42&gt;0),"Yes - "&amp;ROUND(AV42,2)&amp;" ft","No")))</f>
        <v/>
      </c>
      <c r="AX42" s="72" t="str">
        <f ca="1">IF(Data!$O$47/2+2000&lt;AP42,"Beyond",IF(Data!$O$47/2&gt;AP42,"Behind","Inside"))</f>
        <v>Beyond</v>
      </c>
      <c r="AY42" s="72" t="e">
        <f ca="1">(TAN(Data!$AA$12*PI()/180)*AP42)+(Data!$O$47/2)</f>
        <v>#VALUE!</v>
      </c>
      <c r="AZ42" s="72" t="e">
        <f t="shared" ca="1" si="54"/>
        <v>#VALUE!</v>
      </c>
      <c r="BA42" s="72" t="e">
        <f t="shared" ca="1" si="55"/>
        <v>#VALUE!</v>
      </c>
      <c r="BB42" s="72" t="e">
        <f t="shared" ca="1" si="56"/>
        <v>#VALUE!</v>
      </c>
      <c r="BC42" s="72" t="str">
        <f>IF(Data!$D$30="","",IF(AND($C42="",$D42="",$E42="",$G42="",$H42="",$I42=""),"",IF(AND(AX42="Inside",AZ42="Yes",BB42&gt;0),"Yes - "&amp;ROUND(BB42,2)&amp;" ft","No")))</f>
        <v/>
      </c>
      <c r="BD42" s="72" t="str">
        <f ca="1">IF(0-Data!$O$47/2&gt;AP42,"Behind",IF(Data!$O$47/2+4000&lt;AP42,"Beyond","Inside"))</f>
        <v>Beyond</v>
      </c>
      <c r="BE42" s="72" t="e">
        <f t="shared" ca="1" si="57"/>
        <v>#VALUE!</v>
      </c>
      <c r="BF42" s="72" t="e">
        <f t="shared" ca="1" si="58"/>
        <v>#VALUE!</v>
      </c>
      <c r="BG42" s="72" t="e">
        <f t="shared" ca="1" si="59"/>
        <v>#VALUE!</v>
      </c>
      <c r="BH42" s="72" t="str">
        <f>IF(Data!$D$30="","",IF(AND($C42="",$D42="",$E42="",$G42="",$H42="",$I42=""),"",IF(AND(BD42="Inside",BE42="Yes",BG42&gt;0),"Yes - "&amp;ROUND(BG42,2)&amp;" ft","No")))</f>
        <v/>
      </c>
      <c r="BI42" s="3" t="str">
        <f t="shared" si="60"/>
        <v/>
      </c>
      <c r="BJ42" s="3" t="str">
        <f t="shared" si="61"/>
        <v/>
      </c>
      <c r="BK42" s="3" t="str">
        <f ca="1">IF(Data!$O$47/2+4000&lt;BI42,"Beyond",IF(Data!$O$47/2&gt;BI42,"Behind","Inside"))</f>
        <v>Beyond</v>
      </c>
      <c r="BL42" s="20" t="e">
        <f ca="1">IF((TAN(Data!$AA$5*PI()/180)*BI42)+(Data!$O$47/2)&lt;Data!$O$47/2,Data!$O$47/2,IF((TAN(Data!$AA$5*PI()/180)*BI42)+(Data!$O$47/2)&gt;250,250,(TAN(Data!$AA$5*PI()/180)*BI42)+(Data!$O$47/2)))</f>
        <v>#VALUE!</v>
      </c>
      <c r="BM42" s="3" t="str">
        <f t="shared" ca="1" si="62"/>
        <v>No</v>
      </c>
      <c r="BN42" s="20" t="e">
        <f ca="1">IF(((BI42-(Data!$O$47/2))/8)&gt;0,((BI42-(Data!$O$47/2))/8),0)</f>
        <v>#VALUE!</v>
      </c>
      <c r="BO42" s="20" t="e">
        <f t="shared" ca="1" si="63"/>
        <v>#VALUE!</v>
      </c>
      <c r="BP42" s="3" t="str">
        <f>IF(Data!$D$31="","",IF(AND($C42="",$D42="",$E42="",$G42="",$H42="",$I42=""),"",IF(AND(BK42="Inside",BM42="Yes",BO42&gt;0),"Yes - "&amp;ROUND(BO42,2)&amp;" ft","No")))</f>
        <v/>
      </c>
      <c r="BQ42" s="3" t="str">
        <f ca="1">IF(Data!$O$47/2+2000&lt;BI42,"Beyond",IF(Data!$O$47/2&gt;BI42,"Behind","Inside"))</f>
        <v>Beyond</v>
      </c>
      <c r="BR42" s="20" t="e">
        <f ca="1">(TAN(Data!$AA$12*PI()/180)*BI42)+(Data!$O$47/2)</f>
        <v>#VALUE!</v>
      </c>
      <c r="BS42" s="3" t="e">
        <f t="shared" ca="1" si="64"/>
        <v>#VALUE!</v>
      </c>
      <c r="BT42" s="20" t="e">
        <f t="shared" ca="1" si="65"/>
        <v>#VALUE!</v>
      </c>
      <c r="BU42" s="20" t="e">
        <f t="shared" ca="1" si="66"/>
        <v>#VALUE!</v>
      </c>
      <c r="BV42" s="3" t="str">
        <f>IF(Data!$D$31="","",IF(AND($C42="",$D42="",$E42="",$G42="",$H42="",$I42=""),"",IF(AND(BQ42="Inside",BS42="Yes",BU42&gt;0),"Yes - "&amp;ROUND(BU42,2)&amp;" ft","No")))</f>
        <v/>
      </c>
      <c r="BW42" s="3" t="str">
        <f ca="1">IF(0-Data!$O$47/2&gt;BI42,"Behind",IF(Data!$O$47/2+4000&lt;BI42,"Beyond","Inside"))</f>
        <v>Beyond</v>
      </c>
      <c r="BX42" s="3" t="e">
        <f t="shared" ca="1" si="67"/>
        <v>#VALUE!</v>
      </c>
      <c r="BY42" s="20" t="e">
        <f t="shared" ca="1" si="68"/>
        <v>#VALUE!</v>
      </c>
      <c r="BZ42" s="20" t="e">
        <f t="shared" ca="1" si="69"/>
        <v>#VALUE!</v>
      </c>
      <c r="CA42" s="3" t="str">
        <f>IF(Data!$D$31="","",IF(AND($C42="",$D42="",$E42="",$G42="",$H42="",$I42=""),"",IF(AND(BW42="Inside",BX42="Yes",BZ42&gt;0),"Yes - "&amp;ROUND(BZ42,2)&amp;" ft","No")))</f>
        <v/>
      </c>
      <c r="CB42" s="9"/>
      <c r="CC42" t="str">
        <f t="shared" si="70"/>
        <v>No</v>
      </c>
      <c r="CD42" s="62" t="s">
        <v>548</v>
      </c>
      <c r="CE42" s="63">
        <f t="shared" si="7"/>
        <v>0</v>
      </c>
      <c r="CF42" s="63">
        <f t="shared" si="5"/>
        <v>260330.3</v>
      </c>
      <c r="CG42" s="63">
        <f t="shared" si="6"/>
        <v>800803.59</v>
      </c>
      <c r="CH42" s="63">
        <f t="shared" si="24"/>
        <v>354</v>
      </c>
      <c r="CI42" s="63">
        <f t="shared" si="9"/>
        <v>0</v>
      </c>
      <c r="CJ42" s="63">
        <f t="shared" si="10"/>
        <v>0.45480516874807703</v>
      </c>
      <c r="CK42" s="63">
        <f t="shared" si="11"/>
        <v>1.39860791215351</v>
      </c>
      <c r="CL42" s="63">
        <f t="shared" si="25"/>
        <v>354</v>
      </c>
      <c r="CM42" s="63">
        <f t="shared" si="26"/>
        <v>6.1784655520599303</v>
      </c>
      <c r="CN42" s="63">
        <f t="shared" si="12"/>
        <v>0</v>
      </c>
      <c r="CO42" s="63">
        <f t="shared" si="13"/>
        <v>1.00543891812539</v>
      </c>
      <c r="CP42" s="63">
        <f t="shared" si="14"/>
        <v>0</v>
      </c>
      <c r="CQ42" s="63">
        <f t="shared" si="15"/>
        <v>0.45480516874807703</v>
      </c>
      <c r="CR42" s="63">
        <f t="shared" si="16"/>
        <v>0</v>
      </c>
      <c r="CS42" s="63">
        <f t="shared" si="17"/>
        <v>0.45480516874807703</v>
      </c>
      <c r="CT42" s="63">
        <f t="shared" si="18"/>
        <v>1.39860791215351</v>
      </c>
      <c r="CU42" s="63">
        <f t="shared" si="19"/>
        <v>9.3200582056497208</v>
      </c>
      <c r="CV42" s="63">
        <f t="shared" si="20"/>
        <v>26.058416670000021</v>
      </c>
      <c r="CW42" s="63">
        <f t="shared" si="21"/>
        <v>80.134330559999924</v>
      </c>
      <c r="CX42" s="63">
        <f t="shared" si="22"/>
        <v>260330.30001199999</v>
      </c>
      <c r="CY42" s="63">
        <f t="shared" si="23"/>
        <v>800803.59001599997</v>
      </c>
    </row>
    <row r="43" spans="1:103" x14ac:dyDescent="0.25">
      <c r="A43" s="67">
        <v>33</v>
      </c>
      <c r="B43" s="84"/>
      <c r="C43" s="84"/>
      <c r="D43" s="84"/>
      <c r="E43" s="84"/>
      <c r="F43" s="109" t="str">
        <f t="shared" si="27"/>
        <v/>
      </c>
      <c r="G43" s="81"/>
      <c r="H43" s="81"/>
      <c r="I43" s="85"/>
      <c r="J43" s="77" t="str">
        <f t="shared" si="28"/>
        <v/>
      </c>
      <c r="K43" s="77" t="str">
        <f t="shared" si="29"/>
        <v/>
      </c>
      <c r="L43" s="77" t="str">
        <f t="shared" si="30"/>
        <v/>
      </c>
      <c r="M43" s="79" t="str">
        <f t="shared" si="31"/>
        <v/>
      </c>
      <c r="N43" s="79" t="str">
        <f t="shared" si="32"/>
        <v/>
      </c>
      <c r="O43" s="79" t="str">
        <f t="shared" si="33"/>
        <v/>
      </c>
      <c r="P43" s="77" t="str">
        <f t="shared" si="34"/>
        <v/>
      </c>
      <c r="Q43" s="77" t="str">
        <f t="shared" si="35"/>
        <v/>
      </c>
      <c r="R43" s="77" t="str">
        <f t="shared" si="36"/>
        <v/>
      </c>
      <c r="S43" s="8"/>
      <c r="T43" s="74">
        <f t="shared" si="37"/>
        <v>-80.134330559999924</v>
      </c>
      <c r="U43" s="66">
        <f t="shared" si="38"/>
        <v>26.058416670000021</v>
      </c>
      <c r="V43" s="66">
        <f t="shared" si="39"/>
        <v>1.524</v>
      </c>
      <c r="W43" s="3" t="str">
        <f t="shared" si="40"/>
        <v/>
      </c>
      <c r="X43" s="3" t="str">
        <f t="shared" si="41"/>
        <v/>
      </c>
      <c r="Y43" s="3" t="str">
        <f ca="1">IF(Data!$O$47/2+4000&lt;W43,"Beyond",IF(Data!$O$47/2&gt;W43,"Behind","Inside"))</f>
        <v>Beyond</v>
      </c>
      <c r="Z43" s="20" t="e">
        <f ca="1">IF((TAN(Data!$AA$5*PI()/180)*W43)+(Data!$O$47/2)&lt;Data!$O$47/2,Data!$O$47/2,IF((TAN(Data!$AA$5*PI()/180)*W43)+(Data!$O$47/2)&gt;250,250,(TAN(Data!$AA$5*PI()/180)*W43)+(Data!$O$47/2)))</f>
        <v>#VALUE!</v>
      </c>
      <c r="AA43" s="3" t="str">
        <f t="shared" ca="1" si="42"/>
        <v>No</v>
      </c>
      <c r="AB43" s="20" t="e">
        <f ca="1">IF(((W43-(Data!$O$47/2))/8)&gt;0,((W43-(Data!$O$47/2))/8),0)</f>
        <v>#VALUE!</v>
      </c>
      <c r="AC43" s="20" t="e">
        <f t="shared" ca="1" si="43"/>
        <v>#VALUE!</v>
      </c>
      <c r="AD43" s="3" t="str">
        <f>IF(Data!$D$29="","",IF(AND($C43="",$D43="",$E43="",$G43="",$H43="",$I43=""),"",IF(AND(Y43="Inside",AA43="Yes",AC43&gt;0),"Yes - "&amp;ROUND(AC43,2)&amp;" ft","No")))</f>
        <v/>
      </c>
      <c r="AE43" s="3" t="str">
        <f ca="1">IF(Data!$O$47/2+2000&lt;W43,"Beyond",IF(Data!$O$47/2&gt;W43,"Behind","Inside"))</f>
        <v>Beyond</v>
      </c>
      <c r="AF43" s="20" t="e">
        <f ca="1">(TAN(Data!$AA$12*PI()/180)*W43)+(Data!$O$47/2)</f>
        <v>#VALUE!</v>
      </c>
      <c r="AG43" s="3" t="e">
        <f t="shared" ca="1" si="44"/>
        <v>#VALUE!</v>
      </c>
      <c r="AH43" s="20" t="e">
        <f t="shared" ca="1" si="45"/>
        <v>#VALUE!</v>
      </c>
      <c r="AI43" s="20" t="e">
        <f t="shared" ca="1" si="46"/>
        <v>#VALUE!</v>
      </c>
      <c r="AJ43" s="3" t="str">
        <f>IF(Data!$D$29="","",IF(AND($C43="",$D43="",$E43="",$G43="",$H43="",$I43=""),"",IF(AND(AE43="Inside",AG43="Yes",AI43&gt;0),"Yes - "&amp;ROUND(AI43,2)&amp;" ft","No")))</f>
        <v/>
      </c>
      <c r="AK43" s="3" t="str">
        <f ca="1">IF(0-Data!$O$47/2&gt;W43,"Behind",IF(Data!$O$47/2+4000&lt;W43,"Beyond","Inside"))</f>
        <v>Beyond</v>
      </c>
      <c r="AL43" s="3" t="e">
        <f t="shared" ca="1" si="47"/>
        <v>#VALUE!</v>
      </c>
      <c r="AM43" s="20" t="e">
        <f t="shared" ca="1" si="48"/>
        <v>#VALUE!</v>
      </c>
      <c r="AN43" s="20" t="e">
        <f t="shared" ca="1" si="49"/>
        <v>#VALUE!</v>
      </c>
      <c r="AO43" s="3" t="str">
        <f>IF(Data!$D$29="","",IF(AND($C43="",$D43="",$E43="",$G43="",$H43="",$I43=""),"",IF(AND(AK43="Inside",AL43="Yes",AN43&gt;0),"Yes - "&amp;ROUND(AN43,2)&amp;" ft","No")))</f>
        <v/>
      </c>
      <c r="AP43" s="72" t="str">
        <f t="shared" si="50"/>
        <v/>
      </c>
      <c r="AQ43" s="72" t="str">
        <f t="shared" si="51"/>
        <v/>
      </c>
      <c r="AR43" s="72" t="str">
        <f ca="1">IF(Data!$O$47/2+4000&lt;AP43,"Beyond",IF(Data!$O$47/2&gt;AP43,"Behind","Inside"))</f>
        <v>Beyond</v>
      </c>
      <c r="AS43" s="72" t="e">
        <f ca="1">IF((TAN(Data!$AA$5*PI()/180)*AP43)+(Data!$O$47/2)&lt;Data!$O$47/2,Data!$O$47/2,IF((TAN(Data!$AA$5*PI()/180)*AP43)+(Data!$O$47/2)&gt;250,250,(TAN(Data!$AA$5*PI()/180)*AP43)+(Data!$O$47/2)))</f>
        <v>#VALUE!</v>
      </c>
      <c r="AT43" s="72" t="str">
        <f t="shared" ca="1" si="52"/>
        <v>No</v>
      </c>
      <c r="AU43" s="72" t="e">
        <f ca="1">IF(((AP43-(Data!$O$47/2))/8)&gt;0,((AP43-(Data!$O$47/2))/8),0)</f>
        <v>#VALUE!</v>
      </c>
      <c r="AV43" s="72" t="e">
        <f t="shared" ca="1" si="53"/>
        <v>#VALUE!</v>
      </c>
      <c r="AW43" s="72" t="str">
        <f>IF(Data!$D$30="","",IF(AND($C43="",$D43="",$E43="",$G43="",$H43="",$I43=""),"",IF(AND(AR43="Inside",AT43="Yes",AV43&gt;0),"Yes - "&amp;ROUND(AV43,2)&amp;" ft","No")))</f>
        <v/>
      </c>
      <c r="AX43" s="72" t="str">
        <f ca="1">IF(Data!$O$47/2+2000&lt;AP43,"Beyond",IF(Data!$O$47/2&gt;AP43,"Behind","Inside"))</f>
        <v>Beyond</v>
      </c>
      <c r="AY43" s="72" t="e">
        <f ca="1">(TAN(Data!$AA$12*PI()/180)*AP43)+(Data!$O$47/2)</f>
        <v>#VALUE!</v>
      </c>
      <c r="AZ43" s="72" t="e">
        <f t="shared" ca="1" si="54"/>
        <v>#VALUE!</v>
      </c>
      <c r="BA43" s="72" t="e">
        <f t="shared" ca="1" si="55"/>
        <v>#VALUE!</v>
      </c>
      <c r="BB43" s="72" t="e">
        <f t="shared" ca="1" si="56"/>
        <v>#VALUE!</v>
      </c>
      <c r="BC43" s="72" t="str">
        <f>IF(Data!$D$30="","",IF(AND($C43="",$D43="",$E43="",$G43="",$H43="",$I43=""),"",IF(AND(AX43="Inside",AZ43="Yes",BB43&gt;0),"Yes - "&amp;ROUND(BB43,2)&amp;" ft","No")))</f>
        <v/>
      </c>
      <c r="BD43" s="72" t="str">
        <f ca="1">IF(0-Data!$O$47/2&gt;AP43,"Behind",IF(Data!$O$47/2+4000&lt;AP43,"Beyond","Inside"))</f>
        <v>Beyond</v>
      </c>
      <c r="BE43" s="72" t="e">
        <f t="shared" ca="1" si="57"/>
        <v>#VALUE!</v>
      </c>
      <c r="BF43" s="72" t="e">
        <f t="shared" ca="1" si="58"/>
        <v>#VALUE!</v>
      </c>
      <c r="BG43" s="72" t="e">
        <f t="shared" ca="1" si="59"/>
        <v>#VALUE!</v>
      </c>
      <c r="BH43" s="72" t="str">
        <f>IF(Data!$D$30="","",IF(AND($C43="",$D43="",$E43="",$G43="",$H43="",$I43=""),"",IF(AND(BD43="Inside",BE43="Yes",BG43&gt;0),"Yes - "&amp;ROUND(BG43,2)&amp;" ft","No")))</f>
        <v/>
      </c>
      <c r="BI43" s="3" t="str">
        <f t="shared" si="60"/>
        <v/>
      </c>
      <c r="BJ43" s="3" t="str">
        <f t="shared" si="61"/>
        <v/>
      </c>
      <c r="BK43" s="3" t="str">
        <f ca="1">IF(Data!$O$47/2+4000&lt;BI43,"Beyond",IF(Data!$O$47/2&gt;BI43,"Behind","Inside"))</f>
        <v>Beyond</v>
      </c>
      <c r="BL43" s="20" t="e">
        <f ca="1">IF((TAN(Data!$AA$5*PI()/180)*BI43)+(Data!$O$47/2)&lt;Data!$O$47/2,Data!$O$47/2,IF((TAN(Data!$AA$5*PI()/180)*BI43)+(Data!$O$47/2)&gt;250,250,(TAN(Data!$AA$5*PI()/180)*BI43)+(Data!$O$47/2)))</f>
        <v>#VALUE!</v>
      </c>
      <c r="BM43" s="3" t="str">
        <f t="shared" ca="1" si="62"/>
        <v>No</v>
      </c>
      <c r="BN43" s="20" t="e">
        <f ca="1">IF(((BI43-(Data!$O$47/2))/8)&gt;0,((BI43-(Data!$O$47/2))/8),0)</f>
        <v>#VALUE!</v>
      </c>
      <c r="BO43" s="20" t="e">
        <f t="shared" ca="1" si="63"/>
        <v>#VALUE!</v>
      </c>
      <c r="BP43" s="3" t="str">
        <f>IF(Data!$D$31="","",IF(AND($C43="",$D43="",$E43="",$G43="",$H43="",$I43=""),"",IF(AND(BK43="Inside",BM43="Yes",BO43&gt;0),"Yes - "&amp;ROUND(BO43,2)&amp;" ft","No")))</f>
        <v/>
      </c>
      <c r="BQ43" s="3" t="str">
        <f ca="1">IF(Data!$O$47/2+2000&lt;BI43,"Beyond",IF(Data!$O$47/2&gt;BI43,"Behind","Inside"))</f>
        <v>Beyond</v>
      </c>
      <c r="BR43" s="20" t="e">
        <f ca="1">(TAN(Data!$AA$12*PI()/180)*BI43)+(Data!$O$47/2)</f>
        <v>#VALUE!</v>
      </c>
      <c r="BS43" s="3" t="e">
        <f t="shared" ca="1" si="64"/>
        <v>#VALUE!</v>
      </c>
      <c r="BT43" s="20" t="e">
        <f t="shared" ca="1" si="65"/>
        <v>#VALUE!</v>
      </c>
      <c r="BU43" s="20" t="e">
        <f t="shared" ca="1" si="66"/>
        <v>#VALUE!</v>
      </c>
      <c r="BV43" s="3" t="str">
        <f>IF(Data!$D$31="","",IF(AND($C43="",$D43="",$E43="",$G43="",$H43="",$I43=""),"",IF(AND(BQ43="Inside",BS43="Yes",BU43&gt;0),"Yes - "&amp;ROUND(BU43,2)&amp;" ft","No")))</f>
        <v/>
      </c>
      <c r="BW43" s="3" t="str">
        <f ca="1">IF(0-Data!$O$47/2&gt;BI43,"Behind",IF(Data!$O$47/2+4000&lt;BI43,"Beyond","Inside"))</f>
        <v>Beyond</v>
      </c>
      <c r="BX43" s="3" t="e">
        <f t="shared" ca="1" si="67"/>
        <v>#VALUE!</v>
      </c>
      <c r="BY43" s="20" t="e">
        <f t="shared" ca="1" si="68"/>
        <v>#VALUE!</v>
      </c>
      <c r="BZ43" s="20" t="e">
        <f t="shared" ca="1" si="69"/>
        <v>#VALUE!</v>
      </c>
      <c r="CA43" s="3" t="str">
        <f>IF(Data!$D$31="","",IF(AND($C43="",$D43="",$E43="",$G43="",$H43="",$I43=""),"",IF(AND(BW43="Inside",BX43="Yes",BZ43&gt;0),"Yes - "&amp;ROUND(BZ43,2)&amp;" ft","No")))</f>
        <v/>
      </c>
      <c r="CB43" s="9"/>
      <c r="CC43" t="str">
        <f t="shared" si="70"/>
        <v>No</v>
      </c>
      <c r="CD43" s="62" t="s">
        <v>549</v>
      </c>
      <c r="CE43" s="63">
        <f t="shared" si="7"/>
        <v>0</v>
      </c>
      <c r="CF43" s="63">
        <f t="shared" si="5"/>
        <v>260330.3</v>
      </c>
      <c r="CG43" s="63">
        <f t="shared" si="6"/>
        <v>800803.59</v>
      </c>
      <c r="CH43" s="63">
        <f t="shared" si="24"/>
        <v>354</v>
      </c>
      <c r="CI43" s="63">
        <f t="shared" si="9"/>
        <v>0</v>
      </c>
      <c r="CJ43" s="63">
        <f t="shared" si="10"/>
        <v>0.45480516874807703</v>
      </c>
      <c r="CK43" s="63">
        <f t="shared" si="11"/>
        <v>1.39860791215351</v>
      </c>
      <c r="CL43" s="63">
        <f t="shared" si="25"/>
        <v>354</v>
      </c>
      <c r="CM43" s="63">
        <f t="shared" si="26"/>
        <v>6.1784655520599303</v>
      </c>
      <c r="CN43" s="63">
        <f t="shared" si="12"/>
        <v>0</v>
      </c>
      <c r="CO43" s="63">
        <f t="shared" si="13"/>
        <v>1.00543891812539</v>
      </c>
      <c r="CP43" s="63">
        <f t="shared" si="14"/>
        <v>0</v>
      </c>
      <c r="CQ43" s="63">
        <f t="shared" si="15"/>
        <v>0.45480516874807703</v>
      </c>
      <c r="CR43" s="63">
        <f t="shared" si="16"/>
        <v>0</v>
      </c>
      <c r="CS43" s="63">
        <f t="shared" si="17"/>
        <v>0.45480516874807703</v>
      </c>
      <c r="CT43" s="63">
        <f t="shared" si="18"/>
        <v>1.39860791215351</v>
      </c>
      <c r="CU43" s="63">
        <f t="shared" si="19"/>
        <v>9.3200582056497208</v>
      </c>
      <c r="CV43" s="63">
        <f t="shared" si="20"/>
        <v>26.058416670000021</v>
      </c>
      <c r="CW43" s="63">
        <f t="shared" si="21"/>
        <v>80.134330559999924</v>
      </c>
      <c r="CX43" s="63">
        <f t="shared" si="22"/>
        <v>260330.30001199999</v>
      </c>
      <c r="CY43" s="63">
        <f t="shared" si="23"/>
        <v>800803.59001599997</v>
      </c>
    </row>
    <row r="44" spans="1:103" x14ac:dyDescent="0.25">
      <c r="A44" s="67">
        <v>34</v>
      </c>
      <c r="B44" s="84"/>
      <c r="C44" s="84"/>
      <c r="D44" s="84"/>
      <c r="E44" s="84"/>
      <c r="F44" s="109" t="str">
        <f t="shared" si="27"/>
        <v/>
      </c>
      <c r="G44" s="81"/>
      <c r="H44" s="81"/>
      <c r="I44" s="85"/>
      <c r="J44" s="77" t="str">
        <f t="shared" si="28"/>
        <v/>
      </c>
      <c r="K44" s="77" t="str">
        <f t="shared" si="29"/>
        <v/>
      </c>
      <c r="L44" s="77" t="str">
        <f t="shared" si="30"/>
        <v/>
      </c>
      <c r="M44" s="79" t="str">
        <f t="shared" si="31"/>
        <v/>
      </c>
      <c r="N44" s="79" t="str">
        <f t="shared" si="32"/>
        <v/>
      </c>
      <c r="O44" s="79" t="str">
        <f t="shared" si="33"/>
        <v/>
      </c>
      <c r="P44" s="77" t="str">
        <f t="shared" si="34"/>
        <v/>
      </c>
      <c r="Q44" s="77" t="str">
        <f t="shared" si="35"/>
        <v/>
      </c>
      <c r="R44" s="77" t="str">
        <f t="shared" si="36"/>
        <v/>
      </c>
      <c r="S44" s="8"/>
      <c r="T44" s="74">
        <f t="shared" si="37"/>
        <v>-80.134330559999924</v>
      </c>
      <c r="U44" s="66">
        <f t="shared" si="38"/>
        <v>26.058416670000021</v>
      </c>
      <c r="V44" s="66">
        <f t="shared" si="39"/>
        <v>1.524</v>
      </c>
      <c r="W44" s="3" t="str">
        <f t="shared" si="40"/>
        <v/>
      </c>
      <c r="X44" s="3" t="str">
        <f t="shared" si="41"/>
        <v/>
      </c>
      <c r="Y44" s="3" t="str">
        <f ca="1">IF(Data!$O$47/2+4000&lt;W44,"Beyond",IF(Data!$O$47/2&gt;W44,"Behind","Inside"))</f>
        <v>Beyond</v>
      </c>
      <c r="Z44" s="20" t="e">
        <f ca="1">IF((TAN(Data!$AA$5*PI()/180)*W44)+(Data!$O$47/2)&lt;Data!$O$47/2,Data!$O$47/2,IF((TAN(Data!$AA$5*PI()/180)*W44)+(Data!$O$47/2)&gt;250,250,(TAN(Data!$AA$5*PI()/180)*W44)+(Data!$O$47/2)))</f>
        <v>#VALUE!</v>
      </c>
      <c r="AA44" s="3" t="str">
        <f t="shared" ca="1" si="42"/>
        <v>No</v>
      </c>
      <c r="AB44" s="20" t="e">
        <f ca="1">IF(((W44-(Data!$O$47/2))/8)&gt;0,((W44-(Data!$O$47/2))/8),0)</f>
        <v>#VALUE!</v>
      </c>
      <c r="AC44" s="20" t="e">
        <f t="shared" ca="1" si="43"/>
        <v>#VALUE!</v>
      </c>
      <c r="AD44" s="3" t="str">
        <f>IF(Data!$D$29="","",IF(AND($C44="",$D44="",$E44="",$G44="",$H44="",$I44=""),"",IF(AND(Y44="Inside",AA44="Yes",AC44&gt;0),"Yes - "&amp;ROUND(AC44,2)&amp;" ft","No")))</f>
        <v/>
      </c>
      <c r="AE44" s="3" t="str">
        <f ca="1">IF(Data!$O$47/2+2000&lt;W44,"Beyond",IF(Data!$O$47/2&gt;W44,"Behind","Inside"))</f>
        <v>Beyond</v>
      </c>
      <c r="AF44" s="20" t="e">
        <f ca="1">(TAN(Data!$AA$12*PI()/180)*W44)+(Data!$O$47/2)</f>
        <v>#VALUE!</v>
      </c>
      <c r="AG44" s="3" t="e">
        <f t="shared" ca="1" si="44"/>
        <v>#VALUE!</v>
      </c>
      <c r="AH44" s="20" t="e">
        <f t="shared" ca="1" si="45"/>
        <v>#VALUE!</v>
      </c>
      <c r="AI44" s="20" t="e">
        <f t="shared" ca="1" si="46"/>
        <v>#VALUE!</v>
      </c>
      <c r="AJ44" s="3" t="str">
        <f>IF(Data!$D$29="","",IF(AND($C44="",$D44="",$E44="",$G44="",$H44="",$I44=""),"",IF(AND(AE44="Inside",AG44="Yes",AI44&gt;0),"Yes - "&amp;ROUND(AI44,2)&amp;" ft","No")))</f>
        <v/>
      </c>
      <c r="AK44" s="3" t="str">
        <f ca="1">IF(0-Data!$O$47/2&gt;W44,"Behind",IF(Data!$O$47/2+4000&lt;W44,"Beyond","Inside"))</f>
        <v>Beyond</v>
      </c>
      <c r="AL44" s="3" t="e">
        <f t="shared" ca="1" si="47"/>
        <v>#VALUE!</v>
      </c>
      <c r="AM44" s="20" t="e">
        <f t="shared" ca="1" si="48"/>
        <v>#VALUE!</v>
      </c>
      <c r="AN44" s="20" t="e">
        <f t="shared" ca="1" si="49"/>
        <v>#VALUE!</v>
      </c>
      <c r="AO44" s="3" t="str">
        <f>IF(Data!$D$29="","",IF(AND($C44="",$D44="",$E44="",$G44="",$H44="",$I44=""),"",IF(AND(AK44="Inside",AL44="Yes",AN44&gt;0),"Yes - "&amp;ROUND(AN44,2)&amp;" ft","No")))</f>
        <v/>
      </c>
      <c r="AP44" s="72" t="str">
        <f t="shared" si="50"/>
        <v/>
      </c>
      <c r="AQ44" s="72" t="str">
        <f t="shared" si="51"/>
        <v/>
      </c>
      <c r="AR44" s="72" t="str">
        <f ca="1">IF(Data!$O$47/2+4000&lt;AP44,"Beyond",IF(Data!$O$47/2&gt;AP44,"Behind","Inside"))</f>
        <v>Beyond</v>
      </c>
      <c r="AS44" s="72" t="e">
        <f ca="1">IF((TAN(Data!$AA$5*PI()/180)*AP44)+(Data!$O$47/2)&lt;Data!$O$47/2,Data!$O$47/2,IF((TAN(Data!$AA$5*PI()/180)*AP44)+(Data!$O$47/2)&gt;250,250,(TAN(Data!$AA$5*PI()/180)*AP44)+(Data!$O$47/2)))</f>
        <v>#VALUE!</v>
      </c>
      <c r="AT44" s="72" t="str">
        <f t="shared" ca="1" si="52"/>
        <v>No</v>
      </c>
      <c r="AU44" s="72" t="e">
        <f ca="1">IF(((AP44-(Data!$O$47/2))/8)&gt;0,((AP44-(Data!$O$47/2))/8),0)</f>
        <v>#VALUE!</v>
      </c>
      <c r="AV44" s="72" t="e">
        <f t="shared" ca="1" si="53"/>
        <v>#VALUE!</v>
      </c>
      <c r="AW44" s="72" t="str">
        <f>IF(Data!$D$30="","",IF(AND($C44="",$D44="",$E44="",$G44="",$H44="",$I44=""),"",IF(AND(AR44="Inside",AT44="Yes",AV44&gt;0),"Yes - "&amp;ROUND(AV44,2)&amp;" ft","No")))</f>
        <v/>
      </c>
      <c r="AX44" s="72" t="str">
        <f ca="1">IF(Data!$O$47/2+2000&lt;AP44,"Beyond",IF(Data!$O$47/2&gt;AP44,"Behind","Inside"))</f>
        <v>Beyond</v>
      </c>
      <c r="AY44" s="72" t="e">
        <f ca="1">(TAN(Data!$AA$12*PI()/180)*AP44)+(Data!$O$47/2)</f>
        <v>#VALUE!</v>
      </c>
      <c r="AZ44" s="72" t="e">
        <f t="shared" ca="1" si="54"/>
        <v>#VALUE!</v>
      </c>
      <c r="BA44" s="72" t="e">
        <f t="shared" ca="1" si="55"/>
        <v>#VALUE!</v>
      </c>
      <c r="BB44" s="72" t="e">
        <f t="shared" ca="1" si="56"/>
        <v>#VALUE!</v>
      </c>
      <c r="BC44" s="72" t="str">
        <f>IF(Data!$D$30="","",IF(AND($C44="",$D44="",$E44="",$G44="",$H44="",$I44=""),"",IF(AND(AX44="Inside",AZ44="Yes",BB44&gt;0),"Yes - "&amp;ROUND(BB44,2)&amp;" ft","No")))</f>
        <v/>
      </c>
      <c r="BD44" s="72" t="str">
        <f ca="1">IF(0-Data!$O$47/2&gt;AP44,"Behind",IF(Data!$O$47/2+4000&lt;AP44,"Beyond","Inside"))</f>
        <v>Beyond</v>
      </c>
      <c r="BE44" s="72" t="e">
        <f t="shared" ca="1" si="57"/>
        <v>#VALUE!</v>
      </c>
      <c r="BF44" s="72" t="e">
        <f t="shared" ca="1" si="58"/>
        <v>#VALUE!</v>
      </c>
      <c r="BG44" s="72" t="e">
        <f t="shared" ca="1" si="59"/>
        <v>#VALUE!</v>
      </c>
      <c r="BH44" s="72" t="str">
        <f>IF(Data!$D$30="","",IF(AND($C44="",$D44="",$E44="",$G44="",$H44="",$I44=""),"",IF(AND(BD44="Inside",BE44="Yes",BG44&gt;0),"Yes - "&amp;ROUND(BG44,2)&amp;" ft","No")))</f>
        <v/>
      </c>
      <c r="BI44" s="3" t="str">
        <f t="shared" si="60"/>
        <v/>
      </c>
      <c r="BJ44" s="3" t="str">
        <f t="shared" si="61"/>
        <v/>
      </c>
      <c r="BK44" s="3" t="str">
        <f ca="1">IF(Data!$O$47/2+4000&lt;BI44,"Beyond",IF(Data!$O$47/2&gt;BI44,"Behind","Inside"))</f>
        <v>Beyond</v>
      </c>
      <c r="BL44" s="20" t="e">
        <f ca="1">IF((TAN(Data!$AA$5*PI()/180)*BI44)+(Data!$O$47/2)&lt;Data!$O$47/2,Data!$O$47/2,IF((TAN(Data!$AA$5*PI()/180)*BI44)+(Data!$O$47/2)&gt;250,250,(TAN(Data!$AA$5*PI()/180)*BI44)+(Data!$O$47/2)))</f>
        <v>#VALUE!</v>
      </c>
      <c r="BM44" s="3" t="str">
        <f t="shared" ca="1" si="62"/>
        <v>No</v>
      </c>
      <c r="BN44" s="20" t="e">
        <f ca="1">IF(((BI44-(Data!$O$47/2))/8)&gt;0,((BI44-(Data!$O$47/2))/8),0)</f>
        <v>#VALUE!</v>
      </c>
      <c r="BO44" s="20" t="e">
        <f t="shared" ca="1" si="63"/>
        <v>#VALUE!</v>
      </c>
      <c r="BP44" s="3" t="str">
        <f>IF(Data!$D$31="","",IF(AND($C44="",$D44="",$E44="",$G44="",$H44="",$I44=""),"",IF(AND(BK44="Inside",BM44="Yes",BO44&gt;0),"Yes - "&amp;ROUND(BO44,2)&amp;" ft","No")))</f>
        <v/>
      </c>
      <c r="BQ44" s="3" t="str">
        <f ca="1">IF(Data!$O$47/2+2000&lt;BI44,"Beyond",IF(Data!$O$47/2&gt;BI44,"Behind","Inside"))</f>
        <v>Beyond</v>
      </c>
      <c r="BR44" s="20" t="e">
        <f ca="1">(TAN(Data!$AA$12*PI()/180)*BI44)+(Data!$O$47/2)</f>
        <v>#VALUE!</v>
      </c>
      <c r="BS44" s="3" t="e">
        <f t="shared" ca="1" si="64"/>
        <v>#VALUE!</v>
      </c>
      <c r="BT44" s="20" t="e">
        <f t="shared" ca="1" si="65"/>
        <v>#VALUE!</v>
      </c>
      <c r="BU44" s="20" t="e">
        <f t="shared" ca="1" si="66"/>
        <v>#VALUE!</v>
      </c>
      <c r="BV44" s="3" t="str">
        <f>IF(Data!$D$31="","",IF(AND($C44="",$D44="",$E44="",$G44="",$H44="",$I44=""),"",IF(AND(BQ44="Inside",BS44="Yes",BU44&gt;0),"Yes - "&amp;ROUND(BU44,2)&amp;" ft","No")))</f>
        <v/>
      </c>
      <c r="BW44" s="3" t="str">
        <f ca="1">IF(0-Data!$O$47/2&gt;BI44,"Behind",IF(Data!$O$47/2+4000&lt;BI44,"Beyond","Inside"))</f>
        <v>Beyond</v>
      </c>
      <c r="BX44" s="3" t="e">
        <f t="shared" ca="1" si="67"/>
        <v>#VALUE!</v>
      </c>
      <c r="BY44" s="20" t="e">
        <f t="shared" ca="1" si="68"/>
        <v>#VALUE!</v>
      </c>
      <c r="BZ44" s="20" t="e">
        <f t="shared" ca="1" si="69"/>
        <v>#VALUE!</v>
      </c>
      <c r="CA44" s="3" t="str">
        <f>IF(Data!$D$31="","",IF(AND($C44="",$D44="",$E44="",$G44="",$H44="",$I44=""),"",IF(AND(BW44="Inside",BX44="Yes",BZ44&gt;0),"Yes - "&amp;ROUND(BZ44,2)&amp;" ft","No")))</f>
        <v/>
      </c>
      <c r="CB44" s="9"/>
      <c r="CC44" t="str">
        <f t="shared" si="70"/>
        <v>No</v>
      </c>
      <c r="CD44" s="62" t="s">
        <v>550</v>
      </c>
      <c r="CE44" s="63">
        <f t="shared" si="7"/>
        <v>0</v>
      </c>
      <c r="CF44" s="63">
        <f t="shared" si="5"/>
        <v>260330.3</v>
      </c>
      <c r="CG44" s="63">
        <f t="shared" si="6"/>
        <v>800803.59</v>
      </c>
      <c r="CH44" s="63">
        <f t="shared" si="24"/>
        <v>354</v>
      </c>
      <c r="CI44" s="63">
        <f t="shared" si="9"/>
        <v>0</v>
      </c>
      <c r="CJ44" s="63">
        <f t="shared" si="10"/>
        <v>0.45480516874807703</v>
      </c>
      <c r="CK44" s="63">
        <f t="shared" si="11"/>
        <v>1.39860791215351</v>
      </c>
      <c r="CL44" s="63">
        <f t="shared" si="25"/>
        <v>354</v>
      </c>
      <c r="CM44" s="63">
        <f t="shared" si="26"/>
        <v>6.1784655520599303</v>
      </c>
      <c r="CN44" s="63">
        <f t="shared" si="12"/>
        <v>0</v>
      </c>
      <c r="CO44" s="63">
        <f t="shared" si="13"/>
        <v>1.00543891812539</v>
      </c>
      <c r="CP44" s="63">
        <f t="shared" si="14"/>
        <v>0</v>
      </c>
      <c r="CQ44" s="63">
        <f t="shared" si="15"/>
        <v>0.45480516874807703</v>
      </c>
      <c r="CR44" s="63">
        <f t="shared" si="16"/>
        <v>0</v>
      </c>
      <c r="CS44" s="63">
        <f t="shared" si="17"/>
        <v>0.45480516874807703</v>
      </c>
      <c r="CT44" s="63">
        <f t="shared" si="18"/>
        <v>1.39860791215351</v>
      </c>
      <c r="CU44" s="63">
        <f t="shared" si="19"/>
        <v>9.3200582056497208</v>
      </c>
      <c r="CV44" s="63">
        <f t="shared" si="20"/>
        <v>26.058416670000021</v>
      </c>
      <c r="CW44" s="63">
        <f t="shared" si="21"/>
        <v>80.134330559999924</v>
      </c>
      <c r="CX44" s="63">
        <f t="shared" si="22"/>
        <v>260330.30001199999</v>
      </c>
      <c r="CY44" s="63">
        <f t="shared" si="23"/>
        <v>800803.59001599997</v>
      </c>
    </row>
    <row r="45" spans="1:103" x14ac:dyDescent="0.25">
      <c r="A45" s="67">
        <v>35</v>
      </c>
      <c r="B45" s="84"/>
      <c r="C45" s="84"/>
      <c r="D45" s="84"/>
      <c r="E45" s="84"/>
      <c r="F45" s="109" t="str">
        <f t="shared" si="27"/>
        <v/>
      </c>
      <c r="G45" s="81"/>
      <c r="H45" s="81"/>
      <c r="I45" s="85"/>
      <c r="J45" s="77" t="str">
        <f t="shared" si="28"/>
        <v/>
      </c>
      <c r="K45" s="77" t="str">
        <f t="shared" si="29"/>
        <v/>
      </c>
      <c r="L45" s="77" t="str">
        <f t="shared" si="30"/>
        <v/>
      </c>
      <c r="M45" s="79" t="str">
        <f t="shared" si="31"/>
        <v/>
      </c>
      <c r="N45" s="79" t="str">
        <f t="shared" si="32"/>
        <v/>
      </c>
      <c r="O45" s="79" t="str">
        <f t="shared" si="33"/>
        <v/>
      </c>
      <c r="P45" s="77" t="str">
        <f t="shared" si="34"/>
        <v/>
      </c>
      <c r="Q45" s="77" t="str">
        <f t="shared" si="35"/>
        <v/>
      </c>
      <c r="R45" s="77" t="str">
        <f t="shared" si="36"/>
        <v/>
      </c>
      <c r="S45" s="8"/>
      <c r="T45" s="74">
        <f t="shared" si="37"/>
        <v>-80.134330559999924</v>
      </c>
      <c r="U45" s="66">
        <f t="shared" si="38"/>
        <v>26.058416670000021</v>
      </c>
      <c r="V45" s="66">
        <f t="shared" si="39"/>
        <v>1.524</v>
      </c>
      <c r="W45" s="3" t="str">
        <f t="shared" si="40"/>
        <v/>
      </c>
      <c r="X45" s="3" t="str">
        <f t="shared" si="41"/>
        <v/>
      </c>
      <c r="Y45" s="3" t="str">
        <f ca="1">IF(Data!$O$47/2+4000&lt;W45,"Beyond",IF(Data!$O$47/2&gt;W45,"Behind","Inside"))</f>
        <v>Beyond</v>
      </c>
      <c r="Z45" s="20" t="e">
        <f ca="1">IF((TAN(Data!$AA$5*PI()/180)*W45)+(Data!$O$47/2)&lt;Data!$O$47/2,Data!$O$47/2,IF((TAN(Data!$AA$5*PI()/180)*W45)+(Data!$O$47/2)&gt;250,250,(TAN(Data!$AA$5*PI()/180)*W45)+(Data!$O$47/2)))</f>
        <v>#VALUE!</v>
      </c>
      <c r="AA45" s="3" t="str">
        <f t="shared" ca="1" si="42"/>
        <v>No</v>
      </c>
      <c r="AB45" s="20" t="e">
        <f ca="1">IF(((W45-(Data!$O$47/2))/8)&gt;0,((W45-(Data!$O$47/2))/8),0)</f>
        <v>#VALUE!</v>
      </c>
      <c r="AC45" s="20" t="e">
        <f t="shared" ca="1" si="43"/>
        <v>#VALUE!</v>
      </c>
      <c r="AD45" s="3" t="str">
        <f>IF(Data!$D$29="","",IF(AND($C45="",$D45="",$E45="",$G45="",$H45="",$I45=""),"",IF(AND(Y45="Inside",AA45="Yes",AC45&gt;0),"Yes - "&amp;ROUND(AC45,2)&amp;" ft","No")))</f>
        <v/>
      </c>
      <c r="AE45" s="3" t="str">
        <f ca="1">IF(Data!$O$47/2+2000&lt;W45,"Beyond",IF(Data!$O$47/2&gt;W45,"Behind","Inside"))</f>
        <v>Beyond</v>
      </c>
      <c r="AF45" s="20" t="e">
        <f ca="1">(TAN(Data!$AA$12*PI()/180)*W45)+(Data!$O$47/2)</f>
        <v>#VALUE!</v>
      </c>
      <c r="AG45" s="3" t="e">
        <f t="shared" ca="1" si="44"/>
        <v>#VALUE!</v>
      </c>
      <c r="AH45" s="20" t="e">
        <f t="shared" ca="1" si="45"/>
        <v>#VALUE!</v>
      </c>
      <c r="AI45" s="20" t="e">
        <f t="shared" ca="1" si="46"/>
        <v>#VALUE!</v>
      </c>
      <c r="AJ45" s="3" t="str">
        <f>IF(Data!$D$29="","",IF(AND($C45="",$D45="",$E45="",$G45="",$H45="",$I45=""),"",IF(AND(AE45="Inside",AG45="Yes",AI45&gt;0),"Yes - "&amp;ROUND(AI45,2)&amp;" ft","No")))</f>
        <v/>
      </c>
      <c r="AK45" s="3" t="str">
        <f ca="1">IF(0-Data!$O$47/2&gt;W45,"Behind",IF(Data!$O$47/2+4000&lt;W45,"Beyond","Inside"))</f>
        <v>Beyond</v>
      </c>
      <c r="AL45" s="3" t="e">
        <f t="shared" ca="1" si="47"/>
        <v>#VALUE!</v>
      </c>
      <c r="AM45" s="20" t="e">
        <f t="shared" ca="1" si="48"/>
        <v>#VALUE!</v>
      </c>
      <c r="AN45" s="20" t="e">
        <f t="shared" ca="1" si="49"/>
        <v>#VALUE!</v>
      </c>
      <c r="AO45" s="3" t="str">
        <f>IF(Data!$D$29="","",IF(AND($C45="",$D45="",$E45="",$G45="",$H45="",$I45=""),"",IF(AND(AK45="Inside",AL45="Yes",AN45&gt;0),"Yes - "&amp;ROUND(AN45,2)&amp;" ft","No")))</f>
        <v/>
      </c>
      <c r="AP45" s="72" t="str">
        <f t="shared" si="50"/>
        <v/>
      </c>
      <c r="AQ45" s="72" t="str">
        <f t="shared" si="51"/>
        <v/>
      </c>
      <c r="AR45" s="72" t="str">
        <f ca="1">IF(Data!$O$47/2+4000&lt;AP45,"Beyond",IF(Data!$O$47/2&gt;AP45,"Behind","Inside"))</f>
        <v>Beyond</v>
      </c>
      <c r="AS45" s="72" t="e">
        <f ca="1">IF((TAN(Data!$AA$5*PI()/180)*AP45)+(Data!$O$47/2)&lt;Data!$O$47/2,Data!$O$47/2,IF((TAN(Data!$AA$5*PI()/180)*AP45)+(Data!$O$47/2)&gt;250,250,(TAN(Data!$AA$5*PI()/180)*AP45)+(Data!$O$47/2)))</f>
        <v>#VALUE!</v>
      </c>
      <c r="AT45" s="72" t="str">
        <f t="shared" ca="1" si="52"/>
        <v>No</v>
      </c>
      <c r="AU45" s="72" t="e">
        <f ca="1">IF(((AP45-(Data!$O$47/2))/8)&gt;0,((AP45-(Data!$O$47/2))/8),0)</f>
        <v>#VALUE!</v>
      </c>
      <c r="AV45" s="72" t="e">
        <f t="shared" ca="1" si="53"/>
        <v>#VALUE!</v>
      </c>
      <c r="AW45" s="72" t="str">
        <f>IF(Data!$D$30="","",IF(AND($C45="",$D45="",$E45="",$G45="",$H45="",$I45=""),"",IF(AND(AR45="Inside",AT45="Yes",AV45&gt;0),"Yes - "&amp;ROUND(AV45,2)&amp;" ft","No")))</f>
        <v/>
      </c>
      <c r="AX45" s="72" t="str">
        <f ca="1">IF(Data!$O$47/2+2000&lt;AP45,"Beyond",IF(Data!$O$47/2&gt;AP45,"Behind","Inside"))</f>
        <v>Beyond</v>
      </c>
      <c r="AY45" s="72" t="e">
        <f ca="1">(TAN(Data!$AA$12*PI()/180)*AP45)+(Data!$O$47/2)</f>
        <v>#VALUE!</v>
      </c>
      <c r="AZ45" s="72" t="e">
        <f t="shared" ca="1" si="54"/>
        <v>#VALUE!</v>
      </c>
      <c r="BA45" s="72" t="e">
        <f t="shared" ca="1" si="55"/>
        <v>#VALUE!</v>
      </c>
      <c r="BB45" s="72" t="e">
        <f t="shared" ca="1" si="56"/>
        <v>#VALUE!</v>
      </c>
      <c r="BC45" s="72" t="str">
        <f>IF(Data!$D$30="","",IF(AND($C45="",$D45="",$E45="",$G45="",$H45="",$I45=""),"",IF(AND(AX45="Inside",AZ45="Yes",BB45&gt;0),"Yes - "&amp;ROUND(BB45,2)&amp;" ft","No")))</f>
        <v/>
      </c>
      <c r="BD45" s="72" t="str">
        <f ca="1">IF(0-Data!$O$47/2&gt;AP45,"Behind",IF(Data!$O$47/2+4000&lt;AP45,"Beyond","Inside"))</f>
        <v>Beyond</v>
      </c>
      <c r="BE45" s="72" t="e">
        <f t="shared" ca="1" si="57"/>
        <v>#VALUE!</v>
      </c>
      <c r="BF45" s="72" t="e">
        <f t="shared" ca="1" si="58"/>
        <v>#VALUE!</v>
      </c>
      <c r="BG45" s="72" t="e">
        <f t="shared" ca="1" si="59"/>
        <v>#VALUE!</v>
      </c>
      <c r="BH45" s="72" t="str">
        <f>IF(Data!$D$30="","",IF(AND($C45="",$D45="",$E45="",$G45="",$H45="",$I45=""),"",IF(AND(BD45="Inside",BE45="Yes",BG45&gt;0),"Yes - "&amp;ROUND(BG45,2)&amp;" ft","No")))</f>
        <v/>
      </c>
      <c r="BI45" s="3" t="str">
        <f t="shared" si="60"/>
        <v/>
      </c>
      <c r="BJ45" s="3" t="str">
        <f t="shared" si="61"/>
        <v/>
      </c>
      <c r="BK45" s="3" t="str">
        <f ca="1">IF(Data!$O$47/2+4000&lt;BI45,"Beyond",IF(Data!$O$47/2&gt;BI45,"Behind","Inside"))</f>
        <v>Beyond</v>
      </c>
      <c r="BL45" s="20" t="e">
        <f ca="1">IF((TAN(Data!$AA$5*PI()/180)*BI45)+(Data!$O$47/2)&lt;Data!$O$47/2,Data!$O$47/2,IF((TAN(Data!$AA$5*PI()/180)*BI45)+(Data!$O$47/2)&gt;250,250,(TAN(Data!$AA$5*PI()/180)*BI45)+(Data!$O$47/2)))</f>
        <v>#VALUE!</v>
      </c>
      <c r="BM45" s="3" t="str">
        <f t="shared" ca="1" si="62"/>
        <v>No</v>
      </c>
      <c r="BN45" s="20" t="e">
        <f ca="1">IF(((BI45-(Data!$O$47/2))/8)&gt;0,((BI45-(Data!$O$47/2))/8),0)</f>
        <v>#VALUE!</v>
      </c>
      <c r="BO45" s="20" t="e">
        <f t="shared" ca="1" si="63"/>
        <v>#VALUE!</v>
      </c>
      <c r="BP45" s="3" t="str">
        <f>IF(Data!$D$31="","",IF(AND($C45="",$D45="",$E45="",$G45="",$H45="",$I45=""),"",IF(AND(BK45="Inside",BM45="Yes",BO45&gt;0),"Yes - "&amp;ROUND(BO45,2)&amp;" ft","No")))</f>
        <v/>
      </c>
      <c r="BQ45" s="3" t="str">
        <f ca="1">IF(Data!$O$47/2+2000&lt;BI45,"Beyond",IF(Data!$O$47/2&gt;BI45,"Behind","Inside"))</f>
        <v>Beyond</v>
      </c>
      <c r="BR45" s="20" t="e">
        <f ca="1">(TAN(Data!$AA$12*PI()/180)*BI45)+(Data!$O$47/2)</f>
        <v>#VALUE!</v>
      </c>
      <c r="BS45" s="3" t="e">
        <f t="shared" ca="1" si="64"/>
        <v>#VALUE!</v>
      </c>
      <c r="BT45" s="20" t="e">
        <f t="shared" ca="1" si="65"/>
        <v>#VALUE!</v>
      </c>
      <c r="BU45" s="20" t="e">
        <f t="shared" ca="1" si="66"/>
        <v>#VALUE!</v>
      </c>
      <c r="BV45" s="3" t="str">
        <f>IF(Data!$D$31="","",IF(AND($C45="",$D45="",$E45="",$G45="",$H45="",$I45=""),"",IF(AND(BQ45="Inside",BS45="Yes",BU45&gt;0),"Yes - "&amp;ROUND(BU45,2)&amp;" ft","No")))</f>
        <v/>
      </c>
      <c r="BW45" s="3" t="str">
        <f ca="1">IF(0-Data!$O$47/2&gt;BI45,"Behind",IF(Data!$O$47/2+4000&lt;BI45,"Beyond","Inside"))</f>
        <v>Beyond</v>
      </c>
      <c r="BX45" s="3" t="e">
        <f t="shared" ca="1" si="67"/>
        <v>#VALUE!</v>
      </c>
      <c r="BY45" s="20" t="e">
        <f t="shared" ca="1" si="68"/>
        <v>#VALUE!</v>
      </c>
      <c r="BZ45" s="20" t="e">
        <f t="shared" ca="1" si="69"/>
        <v>#VALUE!</v>
      </c>
      <c r="CA45" s="3" t="str">
        <f>IF(Data!$D$31="","",IF(AND($C45="",$D45="",$E45="",$G45="",$H45="",$I45=""),"",IF(AND(BW45="Inside",BX45="Yes",BZ45&gt;0),"Yes - "&amp;ROUND(BZ45,2)&amp;" ft","No")))</f>
        <v/>
      </c>
      <c r="CB45" s="9"/>
      <c r="CC45" t="str">
        <f t="shared" si="70"/>
        <v>No</v>
      </c>
      <c r="CD45" s="62" t="s">
        <v>551</v>
      </c>
      <c r="CE45" s="63">
        <f t="shared" si="7"/>
        <v>0</v>
      </c>
      <c r="CF45" s="63">
        <f t="shared" si="5"/>
        <v>260330.3</v>
      </c>
      <c r="CG45" s="63">
        <f t="shared" si="6"/>
        <v>800803.59</v>
      </c>
      <c r="CH45" s="63">
        <f t="shared" si="24"/>
        <v>354</v>
      </c>
      <c r="CI45" s="63">
        <f t="shared" si="9"/>
        <v>0</v>
      </c>
      <c r="CJ45" s="63">
        <f t="shared" si="10"/>
        <v>0.45480516874807703</v>
      </c>
      <c r="CK45" s="63">
        <f t="shared" si="11"/>
        <v>1.39860791215351</v>
      </c>
      <c r="CL45" s="63">
        <f t="shared" si="25"/>
        <v>354</v>
      </c>
      <c r="CM45" s="63">
        <f t="shared" si="26"/>
        <v>6.1784655520599303</v>
      </c>
      <c r="CN45" s="63">
        <f t="shared" si="12"/>
        <v>0</v>
      </c>
      <c r="CO45" s="63">
        <f t="shared" si="13"/>
        <v>1.00543891812539</v>
      </c>
      <c r="CP45" s="63">
        <f t="shared" si="14"/>
        <v>0</v>
      </c>
      <c r="CQ45" s="63">
        <f t="shared" si="15"/>
        <v>0.45480516874807703</v>
      </c>
      <c r="CR45" s="63">
        <f t="shared" si="16"/>
        <v>0</v>
      </c>
      <c r="CS45" s="63">
        <f t="shared" si="17"/>
        <v>0.45480516874807703</v>
      </c>
      <c r="CT45" s="63">
        <f t="shared" si="18"/>
        <v>1.39860791215351</v>
      </c>
      <c r="CU45" s="63">
        <f t="shared" si="19"/>
        <v>9.3200582056497208</v>
      </c>
      <c r="CV45" s="63">
        <f t="shared" si="20"/>
        <v>26.058416670000021</v>
      </c>
      <c r="CW45" s="63">
        <f t="shared" si="21"/>
        <v>80.134330559999924</v>
      </c>
      <c r="CX45" s="63">
        <f t="shared" si="22"/>
        <v>260330.30001199999</v>
      </c>
      <c r="CY45" s="63">
        <f t="shared" si="23"/>
        <v>800803.59001599997</v>
      </c>
    </row>
    <row r="46" spans="1:103" x14ac:dyDescent="0.25">
      <c r="A46" s="67">
        <v>36</v>
      </c>
      <c r="B46" s="84"/>
      <c r="C46" s="84"/>
      <c r="D46" s="84"/>
      <c r="E46" s="84"/>
      <c r="F46" s="109" t="str">
        <f t="shared" si="27"/>
        <v/>
      </c>
      <c r="G46" s="81"/>
      <c r="H46" s="81"/>
      <c r="I46" s="85"/>
      <c r="J46" s="77" t="str">
        <f t="shared" si="28"/>
        <v/>
      </c>
      <c r="K46" s="77" t="str">
        <f t="shared" si="29"/>
        <v/>
      </c>
      <c r="L46" s="77" t="str">
        <f t="shared" si="30"/>
        <v/>
      </c>
      <c r="M46" s="79" t="str">
        <f t="shared" si="31"/>
        <v/>
      </c>
      <c r="N46" s="79" t="str">
        <f t="shared" si="32"/>
        <v/>
      </c>
      <c r="O46" s="79" t="str">
        <f t="shared" si="33"/>
        <v/>
      </c>
      <c r="P46" s="77" t="str">
        <f t="shared" si="34"/>
        <v/>
      </c>
      <c r="Q46" s="77" t="str">
        <f t="shared" si="35"/>
        <v/>
      </c>
      <c r="R46" s="77" t="str">
        <f t="shared" si="36"/>
        <v/>
      </c>
      <c r="S46" s="8"/>
      <c r="T46" s="74">
        <f t="shared" si="37"/>
        <v>-80.134330559999924</v>
      </c>
      <c r="U46" s="66">
        <f t="shared" si="38"/>
        <v>26.058416670000021</v>
      </c>
      <c r="V46" s="66">
        <f t="shared" si="39"/>
        <v>1.524</v>
      </c>
      <c r="W46" s="3" t="str">
        <f t="shared" si="40"/>
        <v/>
      </c>
      <c r="X46" s="3" t="str">
        <f t="shared" si="41"/>
        <v/>
      </c>
      <c r="Y46" s="3" t="str">
        <f ca="1">IF(Data!$O$47/2+4000&lt;W46,"Beyond",IF(Data!$O$47/2&gt;W46,"Behind","Inside"))</f>
        <v>Beyond</v>
      </c>
      <c r="Z46" s="20" t="e">
        <f ca="1">IF((TAN(Data!$AA$5*PI()/180)*W46)+(Data!$O$47/2)&lt;Data!$O$47/2,Data!$O$47/2,IF((TAN(Data!$AA$5*PI()/180)*W46)+(Data!$O$47/2)&gt;250,250,(TAN(Data!$AA$5*PI()/180)*W46)+(Data!$O$47/2)))</f>
        <v>#VALUE!</v>
      </c>
      <c r="AA46" s="3" t="str">
        <f t="shared" ca="1" si="42"/>
        <v>No</v>
      </c>
      <c r="AB46" s="20" t="e">
        <f ca="1">IF(((W46-(Data!$O$47/2))/8)&gt;0,((W46-(Data!$O$47/2))/8),0)</f>
        <v>#VALUE!</v>
      </c>
      <c r="AC46" s="20" t="e">
        <f t="shared" ca="1" si="43"/>
        <v>#VALUE!</v>
      </c>
      <c r="AD46" s="3" t="str">
        <f>IF(Data!$D$29="","",IF(AND($C46="",$D46="",$E46="",$G46="",$H46="",$I46=""),"",IF(AND(Y46="Inside",AA46="Yes",AC46&gt;0),"Yes - "&amp;ROUND(AC46,2)&amp;" ft","No")))</f>
        <v/>
      </c>
      <c r="AE46" s="3" t="str">
        <f ca="1">IF(Data!$O$47/2+2000&lt;W46,"Beyond",IF(Data!$O$47/2&gt;W46,"Behind","Inside"))</f>
        <v>Beyond</v>
      </c>
      <c r="AF46" s="20" t="e">
        <f ca="1">(TAN(Data!$AA$12*PI()/180)*W46)+(Data!$O$47/2)</f>
        <v>#VALUE!</v>
      </c>
      <c r="AG46" s="3" t="e">
        <f t="shared" ca="1" si="44"/>
        <v>#VALUE!</v>
      </c>
      <c r="AH46" s="20" t="e">
        <f t="shared" ca="1" si="45"/>
        <v>#VALUE!</v>
      </c>
      <c r="AI46" s="20" t="e">
        <f t="shared" ca="1" si="46"/>
        <v>#VALUE!</v>
      </c>
      <c r="AJ46" s="3" t="str">
        <f>IF(Data!$D$29="","",IF(AND($C46="",$D46="",$E46="",$G46="",$H46="",$I46=""),"",IF(AND(AE46="Inside",AG46="Yes",AI46&gt;0),"Yes - "&amp;ROUND(AI46,2)&amp;" ft","No")))</f>
        <v/>
      </c>
      <c r="AK46" s="3" t="str">
        <f ca="1">IF(0-Data!$O$47/2&gt;W46,"Behind",IF(Data!$O$47/2+4000&lt;W46,"Beyond","Inside"))</f>
        <v>Beyond</v>
      </c>
      <c r="AL46" s="3" t="e">
        <f t="shared" ca="1" si="47"/>
        <v>#VALUE!</v>
      </c>
      <c r="AM46" s="20" t="e">
        <f t="shared" ca="1" si="48"/>
        <v>#VALUE!</v>
      </c>
      <c r="AN46" s="20" t="e">
        <f t="shared" ca="1" si="49"/>
        <v>#VALUE!</v>
      </c>
      <c r="AO46" s="3" t="str">
        <f>IF(Data!$D$29="","",IF(AND($C46="",$D46="",$E46="",$G46="",$H46="",$I46=""),"",IF(AND(AK46="Inside",AL46="Yes",AN46&gt;0),"Yes - "&amp;ROUND(AN46,2)&amp;" ft","No")))</f>
        <v/>
      </c>
      <c r="AP46" s="72" t="str">
        <f t="shared" si="50"/>
        <v/>
      </c>
      <c r="AQ46" s="72" t="str">
        <f t="shared" si="51"/>
        <v/>
      </c>
      <c r="AR46" s="72" t="str">
        <f ca="1">IF(Data!$O$47/2+4000&lt;AP46,"Beyond",IF(Data!$O$47/2&gt;AP46,"Behind","Inside"))</f>
        <v>Beyond</v>
      </c>
      <c r="AS46" s="72" t="e">
        <f ca="1">IF((TAN(Data!$AA$5*PI()/180)*AP46)+(Data!$O$47/2)&lt;Data!$O$47/2,Data!$O$47/2,IF((TAN(Data!$AA$5*PI()/180)*AP46)+(Data!$O$47/2)&gt;250,250,(TAN(Data!$AA$5*PI()/180)*AP46)+(Data!$O$47/2)))</f>
        <v>#VALUE!</v>
      </c>
      <c r="AT46" s="72" t="str">
        <f t="shared" ca="1" si="52"/>
        <v>No</v>
      </c>
      <c r="AU46" s="72" t="e">
        <f ca="1">IF(((AP46-(Data!$O$47/2))/8)&gt;0,((AP46-(Data!$O$47/2))/8),0)</f>
        <v>#VALUE!</v>
      </c>
      <c r="AV46" s="72" t="e">
        <f t="shared" ca="1" si="53"/>
        <v>#VALUE!</v>
      </c>
      <c r="AW46" s="72" t="str">
        <f>IF(Data!$D$30="","",IF(AND($C46="",$D46="",$E46="",$G46="",$H46="",$I46=""),"",IF(AND(AR46="Inside",AT46="Yes",AV46&gt;0),"Yes - "&amp;ROUND(AV46,2)&amp;" ft","No")))</f>
        <v/>
      </c>
      <c r="AX46" s="72" t="str">
        <f ca="1">IF(Data!$O$47/2+2000&lt;AP46,"Beyond",IF(Data!$O$47/2&gt;AP46,"Behind","Inside"))</f>
        <v>Beyond</v>
      </c>
      <c r="AY46" s="72" t="e">
        <f ca="1">(TAN(Data!$AA$12*PI()/180)*AP46)+(Data!$O$47/2)</f>
        <v>#VALUE!</v>
      </c>
      <c r="AZ46" s="72" t="e">
        <f t="shared" ca="1" si="54"/>
        <v>#VALUE!</v>
      </c>
      <c r="BA46" s="72" t="e">
        <f t="shared" ca="1" si="55"/>
        <v>#VALUE!</v>
      </c>
      <c r="BB46" s="72" t="e">
        <f t="shared" ca="1" si="56"/>
        <v>#VALUE!</v>
      </c>
      <c r="BC46" s="72" t="str">
        <f>IF(Data!$D$30="","",IF(AND($C46="",$D46="",$E46="",$G46="",$H46="",$I46=""),"",IF(AND(AX46="Inside",AZ46="Yes",BB46&gt;0),"Yes - "&amp;ROUND(BB46,2)&amp;" ft","No")))</f>
        <v/>
      </c>
      <c r="BD46" s="72" t="str">
        <f ca="1">IF(0-Data!$O$47/2&gt;AP46,"Behind",IF(Data!$O$47/2+4000&lt;AP46,"Beyond","Inside"))</f>
        <v>Beyond</v>
      </c>
      <c r="BE46" s="72" t="e">
        <f t="shared" ca="1" si="57"/>
        <v>#VALUE!</v>
      </c>
      <c r="BF46" s="72" t="e">
        <f t="shared" ca="1" si="58"/>
        <v>#VALUE!</v>
      </c>
      <c r="BG46" s="72" t="e">
        <f t="shared" ca="1" si="59"/>
        <v>#VALUE!</v>
      </c>
      <c r="BH46" s="72" t="str">
        <f>IF(Data!$D$30="","",IF(AND($C46="",$D46="",$E46="",$G46="",$H46="",$I46=""),"",IF(AND(BD46="Inside",BE46="Yes",BG46&gt;0),"Yes - "&amp;ROUND(BG46,2)&amp;" ft","No")))</f>
        <v/>
      </c>
      <c r="BI46" s="3" t="str">
        <f t="shared" si="60"/>
        <v/>
      </c>
      <c r="BJ46" s="3" t="str">
        <f t="shared" si="61"/>
        <v/>
      </c>
      <c r="BK46" s="3" t="str">
        <f ca="1">IF(Data!$O$47/2+4000&lt;BI46,"Beyond",IF(Data!$O$47/2&gt;BI46,"Behind","Inside"))</f>
        <v>Beyond</v>
      </c>
      <c r="BL46" s="20" t="e">
        <f ca="1">IF((TAN(Data!$AA$5*PI()/180)*BI46)+(Data!$O$47/2)&lt;Data!$O$47/2,Data!$O$47/2,IF((TAN(Data!$AA$5*PI()/180)*BI46)+(Data!$O$47/2)&gt;250,250,(TAN(Data!$AA$5*PI()/180)*BI46)+(Data!$O$47/2)))</f>
        <v>#VALUE!</v>
      </c>
      <c r="BM46" s="3" t="str">
        <f t="shared" ca="1" si="62"/>
        <v>No</v>
      </c>
      <c r="BN46" s="20" t="e">
        <f ca="1">IF(((BI46-(Data!$O$47/2))/8)&gt;0,((BI46-(Data!$O$47/2))/8),0)</f>
        <v>#VALUE!</v>
      </c>
      <c r="BO46" s="20" t="e">
        <f t="shared" ca="1" si="63"/>
        <v>#VALUE!</v>
      </c>
      <c r="BP46" s="3" t="str">
        <f>IF(Data!$D$31="","",IF(AND($C46="",$D46="",$E46="",$G46="",$H46="",$I46=""),"",IF(AND(BK46="Inside",BM46="Yes",BO46&gt;0),"Yes - "&amp;ROUND(BO46,2)&amp;" ft","No")))</f>
        <v/>
      </c>
      <c r="BQ46" s="3" t="str">
        <f ca="1">IF(Data!$O$47/2+2000&lt;BI46,"Beyond",IF(Data!$O$47/2&gt;BI46,"Behind","Inside"))</f>
        <v>Beyond</v>
      </c>
      <c r="BR46" s="20" t="e">
        <f ca="1">(TAN(Data!$AA$12*PI()/180)*BI46)+(Data!$O$47/2)</f>
        <v>#VALUE!</v>
      </c>
      <c r="BS46" s="3" t="e">
        <f t="shared" ca="1" si="64"/>
        <v>#VALUE!</v>
      </c>
      <c r="BT46" s="20" t="e">
        <f t="shared" ca="1" si="65"/>
        <v>#VALUE!</v>
      </c>
      <c r="BU46" s="20" t="e">
        <f t="shared" ca="1" si="66"/>
        <v>#VALUE!</v>
      </c>
      <c r="BV46" s="3" t="str">
        <f>IF(Data!$D$31="","",IF(AND($C46="",$D46="",$E46="",$G46="",$H46="",$I46=""),"",IF(AND(BQ46="Inside",BS46="Yes",BU46&gt;0),"Yes - "&amp;ROUND(BU46,2)&amp;" ft","No")))</f>
        <v/>
      </c>
      <c r="BW46" s="3" t="str">
        <f ca="1">IF(0-Data!$O$47/2&gt;BI46,"Behind",IF(Data!$O$47/2+4000&lt;BI46,"Beyond","Inside"))</f>
        <v>Beyond</v>
      </c>
      <c r="BX46" s="3" t="e">
        <f t="shared" ca="1" si="67"/>
        <v>#VALUE!</v>
      </c>
      <c r="BY46" s="20" t="e">
        <f t="shared" ca="1" si="68"/>
        <v>#VALUE!</v>
      </c>
      <c r="BZ46" s="20" t="e">
        <f t="shared" ca="1" si="69"/>
        <v>#VALUE!</v>
      </c>
      <c r="CA46" s="3" t="str">
        <f>IF(Data!$D$31="","",IF(AND($C46="",$D46="",$E46="",$G46="",$H46="",$I46=""),"",IF(AND(BW46="Inside",BX46="Yes",BZ46&gt;0),"Yes - "&amp;ROUND(BZ46,2)&amp;" ft","No")))</f>
        <v/>
      </c>
      <c r="CB46" s="9"/>
      <c r="CC46" t="str">
        <f t="shared" si="70"/>
        <v>No</v>
      </c>
      <c r="CD46" s="62" t="s">
        <v>552</v>
      </c>
      <c r="CE46" s="63">
        <f t="shared" si="7"/>
        <v>0</v>
      </c>
      <c r="CF46" s="63">
        <f t="shared" si="5"/>
        <v>260330.3</v>
      </c>
      <c r="CG46" s="63">
        <f t="shared" si="6"/>
        <v>800803.59</v>
      </c>
      <c r="CH46" s="63">
        <f t="shared" si="24"/>
        <v>354</v>
      </c>
      <c r="CI46" s="63">
        <f t="shared" si="9"/>
        <v>0</v>
      </c>
      <c r="CJ46" s="63">
        <f t="shared" si="10"/>
        <v>0.45480516874807703</v>
      </c>
      <c r="CK46" s="63">
        <f t="shared" si="11"/>
        <v>1.39860791215351</v>
      </c>
      <c r="CL46" s="63">
        <f t="shared" si="25"/>
        <v>354</v>
      </c>
      <c r="CM46" s="63">
        <f t="shared" si="26"/>
        <v>6.1784655520599303</v>
      </c>
      <c r="CN46" s="63">
        <f t="shared" si="12"/>
        <v>0</v>
      </c>
      <c r="CO46" s="63">
        <f t="shared" si="13"/>
        <v>1.00543891812539</v>
      </c>
      <c r="CP46" s="63">
        <f t="shared" si="14"/>
        <v>0</v>
      </c>
      <c r="CQ46" s="63">
        <f t="shared" si="15"/>
        <v>0.45480516874807703</v>
      </c>
      <c r="CR46" s="63">
        <f t="shared" si="16"/>
        <v>0</v>
      </c>
      <c r="CS46" s="63">
        <f t="shared" si="17"/>
        <v>0.45480516874807703</v>
      </c>
      <c r="CT46" s="63">
        <f t="shared" si="18"/>
        <v>1.39860791215351</v>
      </c>
      <c r="CU46" s="63">
        <f t="shared" si="19"/>
        <v>9.3200582056497208</v>
      </c>
      <c r="CV46" s="63">
        <f t="shared" si="20"/>
        <v>26.058416670000021</v>
      </c>
      <c r="CW46" s="63">
        <f t="shared" si="21"/>
        <v>80.134330559999924</v>
      </c>
      <c r="CX46" s="63">
        <f t="shared" si="22"/>
        <v>260330.30001199999</v>
      </c>
      <c r="CY46" s="63">
        <f t="shared" si="23"/>
        <v>800803.59001599997</v>
      </c>
    </row>
    <row r="47" spans="1:103" x14ac:dyDescent="0.25">
      <c r="A47" s="67">
        <v>37</v>
      </c>
      <c r="B47" s="84"/>
      <c r="C47" s="84"/>
      <c r="D47" s="84"/>
      <c r="E47" s="84"/>
      <c r="F47" s="109" t="str">
        <f t="shared" si="27"/>
        <v/>
      </c>
      <c r="G47" s="81"/>
      <c r="H47" s="81"/>
      <c r="I47" s="85"/>
      <c r="J47" s="77" t="str">
        <f t="shared" si="28"/>
        <v/>
      </c>
      <c r="K47" s="77" t="str">
        <f t="shared" si="29"/>
        <v/>
      </c>
      <c r="L47" s="77" t="str">
        <f t="shared" si="30"/>
        <v/>
      </c>
      <c r="M47" s="79" t="str">
        <f t="shared" si="31"/>
        <v/>
      </c>
      <c r="N47" s="79" t="str">
        <f t="shared" si="32"/>
        <v/>
      </c>
      <c r="O47" s="79" t="str">
        <f t="shared" si="33"/>
        <v/>
      </c>
      <c r="P47" s="77" t="str">
        <f t="shared" si="34"/>
        <v/>
      </c>
      <c r="Q47" s="77" t="str">
        <f t="shared" si="35"/>
        <v/>
      </c>
      <c r="R47" s="77" t="str">
        <f t="shared" si="36"/>
        <v/>
      </c>
      <c r="S47" s="8"/>
      <c r="T47" s="74">
        <f t="shared" si="37"/>
        <v>-80.134330559999924</v>
      </c>
      <c r="U47" s="66">
        <f t="shared" si="38"/>
        <v>26.058416670000021</v>
      </c>
      <c r="V47" s="66">
        <f t="shared" si="39"/>
        <v>1.524</v>
      </c>
      <c r="W47" s="3" t="str">
        <f t="shared" si="40"/>
        <v/>
      </c>
      <c r="X47" s="3" t="str">
        <f t="shared" si="41"/>
        <v/>
      </c>
      <c r="Y47" s="3" t="str">
        <f ca="1">IF(Data!$O$47/2+4000&lt;W47,"Beyond",IF(Data!$O$47/2&gt;W47,"Behind","Inside"))</f>
        <v>Beyond</v>
      </c>
      <c r="Z47" s="20" t="e">
        <f ca="1">IF((TAN(Data!$AA$5*PI()/180)*W47)+(Data!$O$47/2)&lt;Data!$O$47/2,Data!$O$47/2,IF((TAN(Data!$AA$5*PI()/180)*W47)+(Data!$O$47/2)&gt;250,250,(TAN(Data!$AA$5*PI()/180)*W47)+(Data!$O$47/2)))</f>
        <v>#VALUE!</v>
      </c>
      <c r="AA47" s="3" t="str">
        <f t="shared" ca="1" si="42"/>
        <v>No</v>
      </c>
      <c r="AB47" s="20" t="e">
        <f ca="1">IF(((W47-(Data!$O$47/2))/8)&gt;0,((W47-(Data!$O$47/2))/8),0)</f>
        <v>#VALUE!</v>
      </c>
      <c r="AC47" s="20" t="e">
        <f t="shared" ca="1" si="43"/>
        <v>#VALUE!</v>
      </c>
      <c r="AD47" s="3" t="str">
        <f>IF(Data!$D$29="","",IF(AND($C47="",$D47="",$E47="",$G47="",$H47="",$I47=""),"",IF(AND(Y47="Inside",AA47="Yes",AC47&gt;0),"Yes - "&amp;ROUND(AC47,2)&amp;" ft","No")))</f>
        <v/>
      </c>
      <c r="AE47" s="3" t="str">
        <f ca="1">IF(Data!$O$47/2+2000&lt;W47,"Beyond",IF(Data!$O$47/2&gt;W47,"Behind","Inside"))</f>
        <v>Beyond</v>
      </c>
      <c r="AF47" s="20" t="e">
        <f ca="1">(TAN(Data!$AA$12*PI()/180)*W47)+(Data!$O$47/2)</f>
        <v>#VALUE!</v>
      </c>
      <c r="AG47" s="3" t="e">
        <f t="shared" ca="1" si="44"/>
        <v>#VALUE!</v>
      </c>
      <c r="AH47" s="20" t="e">
        <f t="shared" ca="1" si="45"/>
        <v>#VALUE!</v>
      </c>
      <c r="AI47" s="20" t="e">
        <f t="shared" ca="1" si="46"/>
        <v>#VALUE!</v>
      </c>
      <c r="AJ47" s="3" t="str">
        <f>IF(Data!$D$29="","",IF(AND($C47="",$D47="",$E47="",$G47="",$H47="",$I47=""),"",IF(AND(AE47="Inside",AG47="Yes",AI47&gt;0),"Yes - "&amp;ROUND(AI47,2)&amp;" ft","No")))</f>
        <v/>
      </c>
      <c r="AK47" s="3" t="str">
        <f ca="1">IF(0-Data!$O$47/2&gt;W47,"Behind",IF(Data!$O$47/2+4000&lt;W47,"Beyond","Inside"))</f>
        <v>Beyond</v>
      </c>
      <c r="AL47" s="3" t="e">
        <f t="shared" ca="1" si="47"/>
        <v>#VALUE!</v>
      </c>
      <c r="AM47" s="20" t="e">
        <f t="shared" ca="1" si="48"/>
        <v>#VALUE!</v>
      </c>
      <c r="AN47" s="20" t="e">
        <f t="shared" ca="1" si="49"/>
        <v>#VALUE!</v>
      </c>
      <c r="AO47" s="3" t="str">
        <f>IF(Data!$D$29="","",IF(AND($C47="",$D47="",$E47="",$G47="",$H47="",$I47=""),"",IF(AND(AK47="Inside",AL47="Yes",AN47&gt;0),"Yes - "&amp;ROUND(AN47,2)&amp;" ft","No")))</f>
        <v/>
      </c>
      <c r="AP47" s="72" t="str">
        <f t="shared" si="50"/>
        <v/>
      </c>
      <c r="AQ47" s="72" t="str">
        <f t="shared" si="51"/>
        <v/>
      </c>
      <c r="AR47" s="72" t="str">
        <f ca="1">IF(Data!$O$47/2+4000&lt;AP47,"Beyond",IF(Data!$O$47/2&gt;AP47,"Behind","Inside"))</f>
        <v>Beyond</v>
      </c>
      <c r="AS47" s="72" t="e">
        <f ca="1">IF((TAN(Data!$AA$5*PI()/180)*AP47)+(Data!$O$47/2)&lt;Data!$O$47/2,Data!$O$47/2,IF((TAN(Data!$AA$5*PI()/180)*AP47)+(Data!$O$47/2)&gt;250,250,(TAN(Data!$AA$5*PI()/180)*AP47)+(Data!$O$47/2)))</f>
        <v>#VALUE!</v>
      </c>
      <c r="AT47" s="72" t="str">
        <f t="shared" ca="1" si="52"/>
        <v>No</v>
      </c>
      <c r="AU47" s="72" t="e">
        <f ca="1">IF(((AP47-(Data!$O$47/2))/8)&gt;0,((AP47-(Data!$O$47/2))/8),0)</f>
        <v>#VALUE!</v>
      </c>
      <c r="AV47" s="72" t="e">
        <f t="shared" ca="1" si="53"/>
        <v>#VALUE!</v>
      </c>
      <c r="AW47" s="72" t="str">
        <f>IF(Data!$D$30="","",IF(AND($C47="",$D47="",$E47="",$G47="",$H47="",$I47=""),"",IF(AND(AR47="Inside",AT47="Yes",AV47&gt;0),"Yes - "&amp;ROUND(AV47,2)&amp;" ft","No")))</f>
        <v/>
      </c>
      <c r="AX47" s="72" t="str">
        <f ca="1">IF(Data!$O$47/2+2000&lt;AP47,"Beyond",IF(Data!$O$47/2&gt;AP47,"Behind","Inside"))</f>
        <v>Beyond</v>
      </c>
      <c r="AY47" s="72" t="e">
        <f ca="1">(TAN(Data!$AA$12*PI()/180)*AP47)+(Data!$O$47/2)</f>
        <v>#VALUE!</v>
      </c>
      <c r="AZ47" s="72" t="e">
        <f t="shared" ca="1" si="54"/>
        <v>#VALUE!</v>
      </c>
      <c r="BA47" s="72" t="e">
        <f t="shared" ca="1" si="55"/>
        <v>#VALUE!</v>
      </c>
      <c r="BB47" s="72" t="e">
        <f t="shared" ca="1" si="56"/>
        <v>#VALUE!</v>
      </c>
      <c r="BC47" s="72" t="str">
        <f>IF(Data!$D$30="","",IF(AND($C47="",$D47="",$E47="",$G47="",$H47="",$I47=""),"",IF(AND(AX47="Inside",AZ47="Yes",BB47&gt;0),"Yes - "&amp;ROUND(BB47,2)&amp;" ft","No")))</f>
        <v/>
      </c>
      <c r="BD47" s="72" t="str">
        <f ca="1">IF(0-Data!$O$47/2&gt;AP47,"Behind",IF(Data!$O$47/2+4000&lt;AP47,"Beyond","Inside"))</f>
        <v>Beyond</v>
      </c>
      <c r="BE47" s="72" t="e">
        <f t="shared" ca="1" si="57"/>
        <v>#VALUE!</v>
      </c>
      <c r="BF47" s="72" t="e">
        <f t="shared" ca="1" si="58"/>
        <v>#VALUE!</v>
      </c>
      <c r="BG47" s="72" t="e">
        <f t="shared" ca="1" si="59"/>
        <v>#VALUE!</v>
      </c>
      <c r="BH47" s="72" t="str">
        <f>IF(Data!$D$30="","",IF(AND($C47="",$D47="",$E47="",$G47="",$H47="",$I47=""),"",IF(AND(BD47="Inside",BE47="Yes",BG47&gt;0),"Yes - "&amp;ROUND(BG47,2)&amp;" ft","No")))</f>
        <v/>
      </c>
      <c r="BI47" s="3" t="str">
        <f t="shared" si="60"/>
        <v/>
      </c>
      <c r="BJ47" s="3" t="str">
        <f t="shared" si="61"/>
        <v/>
      </c>
      <c r="BK47" s="3" t="str">
        <f ca="1">IF(Data!$O$47/2+4000&lt;BI47,"Beyond",IF(Data!$O$47/2&gt;BI47,"Behind","Inside"))</f>
        <v>Beyond</v>
      </c>
      <c r="BL47" s="20" t="e">
        <f ca="1">IF((TAN(Data!$AA$5*PI()/180)*BI47)+(Data!$O$47/2)&lt;Data!$O$47/2,Data!$O$47/2,IF((TAN(Data!$AA$5*PI()/180)*BI47)+(Data!$O$47/2)&gt;250,250,(TAN(Data!$AA$5*PI()/180)*BI47)+(Data!$O$47/2)))</f>
        <v>#VALUE!</v>
      </c>
      <c r="BM47" s="3" t="str">
        <f t="shared" ca="1" si="62"/>
        <v>No</v>
      </c>
      <c r="BN47" s="20" t="e">
        <f ca="1">IF(((BI47-(Data!$O$47/2))/8)&gt;0,((BI47-(Data!$O$47/2))/8),0)</f>
        <v>#VALUE!</v>
      </c>
      <c r="BO47" s="20" t="e">
        <f t="shared" ca="1" si="63"/>
        <v>#VALUE!</v>
      </c>
      <c r="BP47" s="3" t="str">
        <f>IF(Data!$D$31="","",IF(AND($C47="",$D47="",$E47="",$G47="",$H47="",$I47=""),"",IF(AND(BK47="Inside",BM47="Yes",BO47&gt;0),"Yes - "&amp;ROUND(BO47,2)&amp;" ft","No")))</f>
        <v/>
      </c>
      <c r="BQ47" s="3" t="str">
        <f ca="1">IF(Data!$O$47/2+2000&lt;BI47,"Beyond",IF(Data!$O$47/2&gt;BI47,"Behind","Inside"))</f>
        <v>Beyond</v>
      </c>
      <c r="BR47" s="20" t="e">
        <f ca="1">(TAN(Data!$AA$12*PI()/180)*BI47)+(Data!$O$47/2)</f>
        <v>#VALUE!</v>
      </c>
      <c r="BS47" s="3" t="e">
        <f t="shared" ca="1" si="64"/>
        <v>#VALUE!</v>
      </c>
      <c r="BT47" s="20" t="e">
        <f t="shared" ca="1" si="65"/>
        <v>#VALUE!</v>
      </c>
      <c r="BU47" s="20" t="e">
        <f t="shared" ca="1" si="66"/>
        <v>#VALUE!</v>
      </c>
      <c r="BV47" s="3" t="str">
        <f>IF(Data!$D$31="","",IF(AND($C47="",$D47="",$E47="",$G47="",$H47="",$I47=""),"",IF(AND(BQ47="Inside",BS47="Yes",BU47&gt;0),"Yes - "&amp;ROUND(BU47,2)&amp;" ft","No")))</f>
        <v/>
      </c>
      <c r="BW47" s="3" t="str">
        <f ca="1">IF(0-Data!$O$47/2&gt;BI47,"Behind",IF(Data!$O$47/2+4000&lt;BI47,"Beyond","Inside"))</f>
        <v>Beyond</v>
      </c>
      <c r="BX47" s="3" t="e">
        <f t="shared" ca="1" si="67"/>
        <v>#VALUE!</v>
      </c>
      <c r="BY47" s="20" t="e">
        <f t="shared" ca="1" si="68"/>
        <v>#VALUE!</v>
      </c>
      <c r="BZ47" s="20" t="e">
        <f t="shared" ca="1" si="69"/>
        <v>#VALUE!</v>
      </c>
      <c r="CA47" s="3" t="str">
        <f>IF(Data!$D$31="","",IF(AND($C47="",$D47="",$E47="",$G47="",$H47="",$I47=""),"",IF(AND(BW47="Inside",BX47="Yes",BZ47&gt;0),"Yes - "&amp;ROUND(BZ47,2)&amp;" ft","No")))</f>
        <v/>
      </c>
      <c r="CB47" s="9"/>
      <c r="CC47" t="str">
        <f t="shared" si="70"/>
        <v>No</v>
      </c>
      <c r="CD47" s="62" t="s">
        <v>553</v>
      </c>
      <c r="CE47" s="63">
        <f t="shared" si="7"/>
        <v>0</v>
      </c>
      <c r="CF47" s="63">
        <f t="shared" si="5"/>
        <v>260330.3</v>
      </c>
      <c r="CG47" s="63">
        <f t="shared" si="6"/>
        <v>800803.59</v>
      </c>
      <c r="CH47" s="63">
        <f t="shared" si="24"/>
        <v>354</v>
      </c>
      <c r="CI47" s="63">
        <f t="shared" si="9"/>
        <v>0</v>
      </c>
      <c r="CJ47" s="63">
        <f t="shared" si="10"/>
        <v>0.45480516874807703</v>
      </c>
      <c r="CK47" s="63">
        <f t="shared" si="11"/>
        <v>1.39860791215351</v>
      </c>
      <c r="CL47" s="63">
        <f t="shared" si="25"/>
        <v>354</v>
      </c>
      <c r="CM47" s="63">
        <f t="shared" si="26"/>
        <v>6.1784655520599303</v>
      </c>
      <c r="CN47" s="63">
        <f t="shared" si="12"/>
        <v>0</v>
      </c>
      <c r="CO47" s="63">
        <f t="shared" si="13"/>
        <v>1.00543891812539</v>
      </c>
      <c r="CP47" s="63">
        <f t="shared" si="14"/>
        <v>0</v>
      </c>
      <c r="CQ47" s="63">
        <f t="shared" si="15"/>
        <v>0.45480516874807703</v>
      </c>
      <c r="CR47" s="63">
        <f t="shared" si="16"/>
        <v>0</v>
      </c>
      <c r="CS47" s="63">
        <f t="shared" si="17"/>
        <v>0.45480516874807703</v>
      </c>
      <c r="CT47" s="63">
        <f t="shared" si="18"/>
        <v>1.39860791215351</v>
      </c>
      <c r="CU47" s="63">
        <f t="shared" si="19"/>
        <v>9.3200582056497208</v>
      </c>
      <c r="CV47" s="63">
        <f t="shared" si="20"/>
        <v>26.058416670000021</v>
      </c>
      <c r="CW47" s="63">
        <f t="shared" si="21"/>
        <v>80.134330559999924</v>
      </c>
      <c r="CX47" s="63">
        <f t="shared" si="22"/>
        <v>260330.30001199999</v>
      </c>
      <c r="CY47" s="63">
        <f t="shared" si="23"/>
        <v>800803.59001599997</v>
      </c>
    </row>
    <row r="48" spans="1:103" x14ac:dyDescent="0.25">
      <c r="A48" s="67">
        <v>38</v>
      </c>
      <c r="B48" s="84"/>
      <c r="C48" s="84"/>
      <c r="D48" s="84"/>
      <c r="E48" s="84"/>
      <c r="F48" s="109" t="str">
        <f t="shared" si="27"/>
        <v/>
      </c>
      <c r="G48" s="81"/>
      <c r="H48" s="81"/>
      <c r="I48" s="85"/>
      <c r="J48" s="77" t="str">
        <f t="shared" si="28"/>
        <v/>
      </c>
      <c r="K48" s="77" t="str">
        <f t="shared" si="29"/>
        <v/>
      </c>
      <c r="L48" s="77" t="str">
        <f t="shared" si="30"/>
        <v/>
      </c>
      <c r="M48" s="79" t="str">
        <f t="shared" si="31"/>
        <v/>
      </c>
      <c r="N48" s="79" t="str">
        <f t="shared" si="32"/>
        <v/>
      </c>
      <c r="O48" s="79" t="str">
        <f t="shared" si="33"/>
        <v/>
      </c>
      <c r="P48" s="77" t="str">
        <f t="shared" si="34"/>
        <v/>
      </c>
      <c r="Q48" s="77" t="str">
        <f t="shared" si="35"/>
        <v/>
      </c>
      <c r="R48" s="77" t="str">
        <f t="shared" si="36"/>
        <v/>
      </c>
      <c r="S48" s="8"/>
      <c r="T48" s="74">
        <f t="shared" si="37"/>
        <v>-80.134330559999924</v>
      </c>
      <c r="U48" s="66">
        <f t="shared" si="38"/>
        <v>26.058416670000021</v>
      </c>
      <c r="V48" s="66">
        <f t="shared" si="39"/>
        <v>1.524</v>
      </c>
      <c r="W48" s="3" t="str">
        <f t="shared" si="40"/>
        <v/>
      </c>
      <c r="X48" s="3" t="str">
        <f t="shared" si="41"/>
        <v/>
      </c>
      <c r="Y48" s="3" t="str">
        <f ca="1">IF(Data!$O$47/2+4000&lt;W48,"Beyond",IF(Data!$O$47/2&gt;W48,"Behind","Inside"))</f>
        <v>Beyond</v>
      </c>
      <c r="Z48" s="20" t="e">
        <f ca="1">IF((TAN(Data!$AA$5*PI()/180)*W48)+(Data!$O$47/2)&lt;Data!$O$47/2,Data!$O$47/2,IF((TAN(Data!$AA$5*PI()/180)*W48)+(Data!$O$47/2)&gt;250,250,(TAN(Data!$AA$5*PI()/180)*W48)+(Data!$O$47/2)))</f>
        <v>#VALUE!</v>
      </c>
      <c r="AA48" s="3" t="str">
        <f t="shared" ca="1" si="42"/>
        <v>No</v>
      </c>
      <c r="AB48" s="20" t="e">
        <f ca="1">IF(((W48-(Data!$O$47/2))/8)&gt;0,((W48-(Data!$O$47/2))/8),0)</f>
        <v>#VALUE!</v>
      </c>
      <c r="AC48" s="20" t="e">
        <f t="shared" ca="1" si="43"/>
        <v>#VALUE!</v>
      </c>
      <c r="AD48" s="3" t="str">
        <f>IF(Data!$D$29="","",IF(AND($C48="",$D48="",$E48="",$G48="",$H48="",$I48=""),"",IF(AND(Y48="Inside",AA48="Yes",AC48&gt;0),"Yes - "&amp;ROUND(AC48,2)&amp;" ft","No")))</f>
        <v/>
      </c>
      <c r="AE48" s="3" t="str">
        <f ca="1">IF(Data!$O$47/2+2000&lt;W48,"Beyond",IF(Data!$O$47/2&gt;W48,"Behind","Inside"))</f>
        <v>Beyond</v>
      </c>
      <c r="AF48" s="20" t="e">
        <f ca="1">(TAN(Data!$AA$12*PI()/180)*W48)+(Data!$O$47/2)</f>
        <v>#VALUE!</v>
      </c>
      <c r="AG48" s="3" t="e">
        <f t="shared" ca="1" si="44"/>
        <v>#VALUE!</v>
      </c>
      <c r="AH48" s="20" t="e">
        <f t="shared" ca="1" si="45"/>
        <v>#VALUE!</v>
      </c>
      <c r="AI48" s="20" t="e">
        <f t="shared" ca="1" si="46"/>
        <v>#VALUE!</v>
      </c>
      <c r="AJ48" s="3" t="str">
        <f>IF(Data!$D$29="","",IF(AND($C48="",$D48="",$E48="",$G48="",$H48="",$I48=""),"",IF(AND(AE48="Inside",AG48="Yes",AI48&gt;0),"Yes - "&amp;ROUND(AI48,2)&amp;" ft","No")))</f>
        <v/>
      </c>
      <c r="AK48" s="3" t="str">
        <f ca="1">IF(0-Data!$O$47/2&gt;W48,"Behind",IF(Data!$O$47/2+4000&lt;W48,"Beyond","Inside"))</f>
        <v>Beyond</v>
      </c>
      <c r="AL48" s="3" t="e">
        <f t="shared" ca="1" si="47"/>
        <v>#VALUE!</v>
      </c>
      <c r="AM48" s="20" t="e">
        <f t="shared" ca="1" si="48"/>
        <v>#VALUE!</v>
      </c>
      <c r="AN48" s="20" t="e">
        <f t="shared" ca="1" si="49"/>
        <v>#VALUE!</v>
      </c>
      <c r="AO48" s="3" t="str">
        <f>IF(Data!$D$29="","",IF(AND($C48="",$D48="",$E48="",$G48="",$H48="",$I48=""),"",IF(AND(AK48="Inside",AL48="Yes",AN48&gt;0),"Yes - "&amp;ROUND(AN48,2)&amp;" ft","No")))</f>
        <v/>
      </c>
      <c r="AP48" s="72" t="str">
        <f t="shared" si="50"/>
        <v/>
      </c>
      <c r="AQ48" s="72" t="str">
        <f t="shared" si="51"/>
        <v/>
      </c>
      <c r="AR48" s="72" t="str">
        <f ca="1">IF(Data!$O$47/2+4000&lt;AP48,"Beyond",IF(Data!$O$47/2&gt;AP48,"Behind","Inside"))</f>
        <v>Beyond</v>
      </c>
      <c r="AS48" s="72" t="e">
        <f ca="1">IF((TAN(Data!$AA$5*PI()/180)*AP48)+(Data!$O$47/2)&lt;Data!$O$47/2,Data!$O$47/2,IF((TAN(Data!$AA$5*PI()/180)*AP48)+(Data!$O$47/2)&gt;250,250,(TAN(Data!$AA$5*PI()/180)*AP48)+(Data!$O$47/2)))</f>
        <v>#VALUE!</v>
      </c>
      <c r="AT48" s="72" t="str">
        <f t="shared" ca="1" si="52"/>
        <v>No</v>
      </c>
      <c r="AU48" s="72" t="e">
        <f ca="1">IF(((AP48-(Data!$O$47/2))/8)&gt;0,((AP48-(Data!$O$47/2))/8),0)</f>
        <v>#VALUE!</v>
      </c>
      <c r="AV48" s="72" t="e">
        <f t="shared" ca="1" si="53"/>
        <v>#VALUE!</v>
      </c>
      <c r="AW48" s="72" t="str">
        <f>IF(Data!$D$30="","",IF(AND($C48="",$D48="",$E48="",$G48="",$H48="",$I48=""),"",IF(AND(AR48="Inside",AT48="Yes",AV48&gt;0),"Yes - "&amp;ROUND(AV48,2)&amp;" ft","No")))</f>
        <v/>
      </c>
      <c r="AX48" s="72" t="str">
        <f ca="1">IF(Data!$O$47/2+2000&lt;AP48,"Beyond",IF(Data!$O$47/2&gt;AP48,"Behind","Inside"))</f>
        <v>Beyond</v>
      </c>
      <c r="AY48" s="72" t="e">
        <f ca="1">(TAN(Data!$AA$12*PI()/180)*AP48)+(Data!$O$47/2)</f>
        <v>#VALUE!</v>
      </c>
      <c r="AZ48" s="72" t="e">
        <f t="shared" ca="1" si="54"/>
        <v>#VALUE!</v>
      </c>
      <c r="BA48" s="72" t="e">
        <f t="shared" ca="1" si="55"/>
        <v>#VALUE!</v>
      </c>
      <c r="BB48" s="72" t="e">
        <f t="shared" ca="1" si="56"/>
        <v>#VALUE!</v>
      </c>
      <c r="BC48" s="72" t="str">
        <f>IF(Data!$D$30="","",IF(AND($C48="",$D48="",$E48="",$G48="",$H48="",$I48=""),"",IF(AND(AX48="Inside",AZ48="Yes",BB48&gt;0),"Yes - "&amp;ROUND(BB48,2)&amp;" ft","No")))</f>
        <v/>
      </c>
      <c r="BD48" s="72" t="str">
        <f ca="1">IF(0-Data!$O$47/2&gt;AP48,"Behind",IF(Data!$O$47/2+4000&lt;AP48,"Beyond","Inside"))</f>
        <v>Beyond</v>
      </c>
      <c r="BE48" s="72" t="e">
        <f t="shared" ca="1" si="57"/>
        <v>#VALUE!</v>
      </c>
      <c r="BF48" s="72" t="e">
        <f t="shared" ca="1" si="58"/>
        <v>#VALUE!</v>
      </c>
      <c r="BG48" s="72" t="e">
        <f t="shared" ca="1" si="59"/>
        <v>#VALUE!</v>
      </c>
      <c r="BH48" s="72" t="str">
        <f>IF(Data!$D$30="","",IF(AND($C48="",$D48="",$E48="",$G48="",$H48="",$I48=""),"",IF(AND(BD48="Inside",BE48="Yes",BG48&gt;0),"Yes - "&amp;ROUND(BG48,2)&amp;" ft","No")))</f>
        <v/>
      </c>
      <c r="BI48" s="3" t="str">
        <f t="shared" si="60"/>
        <v/>
      </c>
      <c r="BJ48" s="3" t="str">
        <f t="shared" si="61"/>
        <v/>
      </c>
      <c r="BK48" s="3" t="str">
        <f ca="1">IF(Data!$O$47/2+4000&lt;BI48,"Beyond",IF(Data!$O$47/2&gt;BI48,"Behind","Inside"))</f>
        <v>Beyond</v>
      </c>
      <c r="BL48" s="20" t="e">
        <f ca="1">IF((TAN(Data!$AA$5*PI()/180)*BI48)+(Data!$O$47/2)&lt;Data!$O$47/2,Data!$O$47/2,IF((TAN(Data!$AA$5*PI()/180)*BI48)+(Data!$O$47/2)&gt;250,250,(TAN(Data!$AA$5*PI()/180)*BI48)+(Data!$O$47/2)))</f>
        <v>#VALUE!</v>
      </c>
      <c r="BM48" s="3" t="str">
        <f t="shared" ca="1" si="62"/>
        <v>No</v>
      </c>
      <c r="BN48" s="20" t="e">
        <f ca="1">IF(((BI48-(Data!$O$47/2))/8)&gt;0,((BI48-(Data!$O$47/2))/8),0)</f>
        <v>#VALUE!</v>
      </c>
      <c r="BO48" s="20" t="e">
        <f t="shared" ca="1" si="63"/>
        <v>#VALUE!</v>
      </c>
      <c r="BP48" s="3" t="str">
        <f>IF(Data!$D$31="","",IF(AND($C48="",$D48="",$E48="",$G48="",$H48="",$I48=""),"",IF(AND(BK48="Inside",BM48="Yes",BO48&gt;0),"Yes - "&amp;ROUND(BO48,2)&amp;" ft","No")))</f>
        <v/>
      </c>
      <c r="BQ48" s="3" t="str">
        <f ca="1">IF(Data!$O$47/2+2000&lt;BI48,"Beyond",IF(Data!$O$47/2&gt;BI48,"Behind","Inside"))</f>
        <v>Beyond</v>
      </c>
      <c r="BR48" s="20" t="e">
        <f ca="1">(TAN(Data!$AA$12*PI()/180)*BI48)+(Data!$O$47/2)</f>
        <v>#VALUE!</v>
      </c>
      <c r="BS48" s="3" t="e">
        <f t="shared" ca="1" si="64"/>
        <v>#VALUE!</v>
      </c>
      <c r="BT48" s="20" t="e">
        <f t="shared" ca="1" si="65"/>
        <v>#VALUE!</v>
      </c>
      <c r="BU48" s="20" t="e">
        <f t="shared" ca="1" si="66"/>
        <v>#VALUE!</v>
      </c>
      <c r="BV48" s="3" t="str">
        <f>IF(Data!$D$31="","",IF(AND($C48="",$D48="",$E48="",$G48="",$H48="",$I48=""),"",IF(AND(BQ48="Inside",BS48="Yes",BU48&gt;0),"Yes - "&amp;ROUND(BU48,2)&amp;" ft","No")))</f>
        <v/>
      </c>
      <c r="BW48" s="3" t="str">
        <f ca="1">IF(0-Data!$O$47/2&gt;BI48,"Behind",IF(Data!$O$47/2+4000&lt;BI48,"Beyond","Inside"))</f>
        <v>Beyond</v>
      </c>
      <c r="BX48" s="3" t="e">
        <f t="shared" ca="1" si="67"/>
        <v>#VALUE!</v>
      </c>
      <c r="BY48" s="20" t="e">
        <f t="shared" ca="1" si="68"/>
        <v>#VALUE!</v>
      </c>
      <c r="BZ48" s="20" t="e">
        <f t="shared" ca="1" si="69"/>
        <v>#VALUE!</v>
      </c>
      <c r="CA48" s="3" t="str">
        <f>IF(Data!$D$31="","",IF(AND($C48="",$D48="",$E48="",$G48="",$H48="",$I48=""),"",IF(AND(BW48="Inside",BX48="Yes",BZ48&gt;0),"Yes - "&amp;ROUND(BZ48,2)&amp;" ft","No")))</f>
        <v/>
      </c>
      <c r="CB48" s="9"/>
      <c r="CC48" t="str">
        <f t="shared" si="70"/>
        <v>No</v>
      </c>
      <c r="CD48" s="62" t="s">
        <v>554</v>
      </c>
      <c r="CE48" s="63">
        <f t="shared" si="7"/>
        <v>0</v>
      </c>
      <c r="CF48" s="63">
        <f t="shared" si="5"/>
        <v>260330.3</v>
      </c>
      <c r="CG48" s="63">
        <f t="shared" si="6"/>
        <v>800803.59</v>
      </c>
      <c r="CH48" s="63">
        <f t="shared" si="24"/>
        <v>354</v>
      </c>
      <c r="CI48" s="63">
        <f t="shared" si="9"/>
        <v>0</v>
      </c>
      <c r="CJ48" s="63">
        <f t="shared" si="10"/>
        <v>0.45480516874807703</v>
      </c>
      <c r="CK48" s="63">
        <f t="shared" si="11"/>
        <v>1.39860791215351</v>
      </c>
      <c r="CL48" s="63">
        <f t="shared" si="25"/>
        <v>354</v>
      </c>
      <c r="CM48" s="63">
        <f t="shared" si="26"/>
        <v>6.1784655520599303</v>
      </c>
      <c r="CN48" s="63">
        <f t="shared" si="12"/>
        <v>0</v>
      </c>
      <c r="CO48" s="63">
        <f t="shared" si="13"/>
        <v>1.00543891812539</v>
      </c>
      <c r="CP48" s="63">
        <f t="shared" si="14"/>
        <v>0</v>
      </c>
      <c r="CQ48" s="63">
        <f t="shared" si="15"/>
        <v>0.45480516874807703</v>
      </c>
      <c r="CR48" s="63">
        <f t="shared" si="16"/>
        <v>0</v>
      </c>
      <c r="CS48" s="63">
        <f t="shared" si="17"/>
        <v>0.45480516874807703</v>
      </c>
      <c r="CT48" s="63">
        <f t="shared" si="18"/>
        <v>1.39860791215351</v>
      </c>
      <c r="CU48" s="63">
        <f t="shared" si="19"/>
        <v>9.3200582056497208</v>
      </c>
      <c r="CV48" s="63">
        <f t="shared" si="20"/>
        <v>26.058416670000021</v>
      </c>
      <c r="CW48" s="63">
        <f t="shared" si="21"/>
        <v>80.134330559999924</v>
      </c>
      <c r="CX48" s="63">
        <f t="shared" si="22"/>
        <v>260330.30001199999</v>
      </c>
      <c r="CY48" s="63">
        <f t="shared" si="23"/>
        <v>800803.59001599997</v>
      </c>
    </row>
    <row r="49" spans="1:148" x14ac:dyDescent="0.25">
      <c r="A49" s="67">
        <v>39</v>
      </c>
      <c r="B49" s="84"/>
      <c r="C49" s="84"/>
      <c r="D49" s="84"/>
      <c r="E49" s="84"/>
      <c r="F49" s="109" t="str">
        <f t="shared" si="27"/>
        <v/>
      </c>
      <c r="G49" s="81"/>
      <c r="H49" s="81"/>
      <c r="I49" s="85"/>
      <c r="J49" s="77" t="str">
        <f t="shared" si="28"/>
        <v/>
      </c>
      <c r="K49" s="77" t="str">
        <f t="shared" si="29"/>
        <v/>
      </c>
      <c r="L49" s="77" t="str">
        <f t="shared" si="30"/>
        <v/>
      </c>
      <c r="M49" s="79" t="str">
        <f t="shared" si="31"/>
        <v/>
      </c>
      <c r="N49" s="79" t="str">
        <f t="shared" si="32"/>
        <v/>
      </c>
      <c r="O49" s="79" t="str">
        <f t="shared" si="33"/>
        <v/>
      </c>
      <c r="P49" s="77" t="str">
        <f t="shared" si="34"/>
        <v/>
      </c>
      <c r="Q49" s="77" t="str">
        <f t="shared" si="35"/>
        <v/>
      </c>
      <c r="R49" s="77" t="str">
        <f t="shared" si="36"/>
        <v/>
      </c>
      <c r="S49" s="8"/>
      <c r="T49" s="74">
        <f t="shared" si="37"/>
        <v>-80.134330559999924</v>
      </c>
      <c r="U49" s="66">
        <f t="shared" si="38"/>
        <v>26.058416670000021</v>
      </c>
      <c r="V49" s="66">
        <f t="shared" si="39"/>
        <v>1.524</v>
      </c>
      <c r="W49" s="3" t="str">
        <f t="shared" si="40"/>
        <v/>
      </c>
      <c r="X49" s="3" t="str">
        <f t="shared" si="41"/>
        <v/>
      </c>
      <c r="Y49" s="3" t="str">
        <f ca="1">IF(Data!$O$47/2+4000&lt;W49,"Beyond",IF(Data!$O$47/2&gt;W49,"Behind","Inside"))</f>
        <v>Beyond</v>
      </c>
      <c r="Z49" s="20" t="e">
        <f ca="1">IF((TAN(Data!$AA$5*PI()/180)*W49)+(Data!$O$47/2)&lt;Data!$O$47/2,Data!$O$47/2,IF((TAN(Data!$AA$5*PI()/180)*W49)+(Data!$O$47/2)&gt;250,250,(TAN(Data!$AA$5*PI()/180)*W49)+(Data!$O$47/2)))</f>
        <v>#VALUE!</v>
      </c>
      <c r="AA49" s="3" t="str">
        <f t="shared" ca="1" si="42"/>
        <v>No</v>
      </c>
      <c r="AB49" s="20" t="e">
        <f ca="1">IF(((W49-(Data!$O$47/2))/8)&gt;0,((W49-(Data!$O$47/2))/8),0)</f>
        <v>#VALUE!</v>
      </c>
      <c r="AC49" s="20" t="e">
        <f t="shared" ca="1" si="43"/>
        <v>#VALUE!</v>
      </c>
      <c r="AD49" s="3" t="str">
        <f>IF(Data!$D$29="","",IF(AND($C49="",$D49="",$E49="",$G49="",$H49="",$I49=""),"",IF(AND(Y49="Inside",AA49="Yes",AC49&gt;0),"Yes - "&amp;ROUND(AC49,2)&amp;" ft","No")))</f>
        <v/>
      </c>
      <c r="AE49" s="3" t="str">
        <f ca="1">IF(Data!$O$47/2+2000&lt;W49,"Beyond",IF(Data!$O$47/2&gt;W49,"Behind","Inside"))</f>
        <v>Beyond</v>
      </c>
      <c r="AF49" s="20" t="e">
        <f ca="1">(TAN(Data!$AA$12*PI()/180)*W49)+(Data!$O$47/2)</f>
        <v>#VALUE!</v>
      </c>
      <c r="AG49" s="3" t="e">
        <f t="shared" ca="1" si="44"/>
        <v>#VALUE!</v>
      </c>
      <c r="AH49" s="20" t="e">
        <f t="shared" ca="1" si="45"/>
        <v>#VALUE!</v>
      </c>
      <c r="AI49" s="20" t="e">
        <f t="shared" ca="1" si="46"/>
        <v>#VALUE!</v>
      </c>
      <c r="AJ49" s="3" t="str">
        <f>IF(Data!$D$29="","",IF(AND($C49="",$D49="",$E49="",$G49="",$H49="",$I49=""),"",IF(AND(AE49="Inside",AG49="Yes",AI49&gt;0),"Yes - "&amp;ROUND(AI49,2)&amp;" ft","No")))</f>
        <v/>
      </c>
      <c r="AK49" s="3" t="str">
        <f ca="1">IF(0-Data!$O$47/2&gt;W49,"Behind",IF(Data!$O$47/2+4000&lt;W49,"Beyond","Inside"))</f>
        <v>Beyond</v>
      </c>
      <c r="AL49" s="3" t="e">
        <f t="shared" ca="1" si="47"/>
        <v>#VALUE!</v>
      </c>
      <c r="AM49" s="20" t="e">
        <f t="shared" ca="1" si="48"/>
        <v>#VALUE!</v>
      </c>
      <c r="AN49" s="20" t="e">
        <f t="shared" ca="1" si="49"/>
        <v>#VALUE!</v>
      </c>
      <c r="AO49" s="3" t="str">
        <f>IF(Data!$D$29="","",IF(AND($C49="",$D49="",$E49="",$G49="",$H49="",$I49=""),"",IF(AND(AK49="Inside",AL49="Yes",AN49&gt;0),"Yes - "&amp;ROUND(AN49,2)&amp;" ft","No")))</f>
        <v/>
      </c>
      <c r="AP49" s="72" t="str">
        <f t="shared" si="50"/>
        <v/>
      </c>
      <c r="AQ49" s="72" t="str">
        <f t="shared" si="51"/>
        <v/>
      </c>
      <c r="AR49" s="72" t="str">
        <f ca="1">IF(Data!$O$47/2+4000&lt;AP49,"Beyond",IF(Data!$O$47/2&gt;AP49,"Behind","Inside"))</f>
        <v>Beyond</v>
      </c>
      <c r="AS49" s="72" t="e">
        <f ca="1">IF((TAN(Data!$AA$5*PI()/180)*AP49)+(Data!$O$47/2)&lt;Data!$O$47/2,Data!$O$47/2,IF((TAN(Data!$AA$5*PI()/180)*AP49)+(Data!$O$47/2)&gt;250,250,(TAN(Data!$AA$5*PI()/180)*AP49)+(Data!$O$47/2)))</f>
        <v>#VALUE!</v>
      </c>
      <c r="AT49" s="72" t="str">
        <f t="shared" ca="1" si="52"/>
        <v>No</v>
      </c>
      <c r="AU49" s="72" t="e">
        <f ca="1">IF(((AP49-(Data!$O$47/2))/8)&gt;0,((AP49-(Data!$O$47/2))/8),0)</f>
        <v>#VALUE!</v>
      </c>
      <c r="AV49" s="72" t="e">
        <f t="shared" ca="1" si="53"/>
        <v>#VALUE!</v>
      </c>
      <c r="AW49" s="72" t="str">
        <f>IF(Data!$D$30="","",IF(AND($C49="",$D49="",$E49="",$G49="",$H49="",$I49=""),"",IF(AND(AR49="Inside",AT49="Yes",AV49&gt;0),"Yes - "&amp;ROUND(AV49,2)&amp;" ft","No")))</f>
        <v/>
      </c>
      <c r="AX49" s="72" t="str">
        <f ca="1">IF(Data!$O$47/2+2000&lt;AP49,"Beyond",IF(Data!$O$47/2&gt;AP49,"Behind","Inside"))</f>
        <v>Beyond</v>
      </c>
      <c r="AY49" s="72" t="e">
        <f ca="1">(TAN(Data!$AA$12*PI()/180)*AP49)+(Data!$O$47/2)</f>
        <v>#VALUE!</v>
      </c>
      <c r="AZ49" s="72" t="e">
        <f t="shared" ca="1" si="54"/>
        <v>#VALUE!</v>
      </c>
      <c r="BA49" s="72" t="e">
        <f t="shared" ca="1" si="55"/>
        <v>#VALUE!</v>
      </c>
      <c r="BB49" s="72" t="e">
        <f t="shared" ca="1" si="56"/>
        <v>#VALUE!</v>
      </c>
      <c r="BC49" s="72" t="str">
        <f>IF(Data!$D$30="","",IF(AND($C49="",$D49="",$E49="",$G49="",$H49="",$I49=""),"",IF(AND(AX49="Inside",AZ49="Yes",BB49&gt;0),"Yes - "&amp;ROUND(BB49,2)&amp;" ft","No")))</f>
        <v/>
      </c>
      <c r="BD49" s="72" t="str">
        <f ca="1">IF(0-Data!$O$47/2&gt;AP49,"Behind",IF(Data!$O$47/2+4000&lt;AP49,"Beyond","Inside"))</f>
        <v>Beyond</v>
      </c>
      <c r="BE49" s="72" t="e">
        <f t="shared" ca="1" si="57"/>
        <v>#VALUE!</v>
      </c>
      <c r="BF49" s="72" t="e">
        <f t="shared" ca="1" si="58"/>
        <v>#VALUE!</v>
      </c>
      <c r="BG49" s="72" t="e">
        <f t="shared" ca="1" si="59"/>
        <v>#VALUE!</v>
      </c>
      <c r="BH49" s="72" t="str">
        <f>IF(Data!$D$30="","",IF(AND($C49="",$D49="",$E49="",$G49="",$H49="",$I49=""),"",IF(AND(BD49="Inside",BE49="Yes",BG49&gt;0),"Yes - "&amp;ROUND(BG49,2)&amp;" ft","No")))</f>
        <v/>
      </c>
      <c r="BI49" s="3" t="str">
        <f t="shared" si="60"/>
        <v/>
      </c>
      <c r="BJ49" s="3" t="str">
        <f t="shared" si="61"/>
        <v/>
      </c>
      <c r="BK49" s="3" t="str">
        <f ca="1">IF(Data!$O$47/2+4000&lt;BI49,"Beyond",IF(Data!$O$47/2&gt;BI49,"Behind","Inside"))</f>
        <v>Beyond</v>
      </c>
      <c r="BL49" s="20" t="e">
        <f ca="1">IF((TAN(Data!$AA$5*PI()/180)*BI49)+(Data!$O$47/2)&lt;Data!$O$47/2,Data!$O$47/2,IF((TAN(Data!$AA$5*PI()/180)*BI49)+(Data!$O$47/2)&gt;250,250,(TAN(Data!$AA$5*PI()/180)*BI49)+(Data!$O$47/2)))</f>
        <v>#VALUE!</v>
      </c>
      <c r="BM49" s="3" t="str">
        <f t="shared" ca="1" si="62"/>
        <v>No</v>
      </c>
      <c r="BN49" s="20" t="e">
        <f ca="1">IF(((BI49-(Data!$O$47/2))/8)&gt;0,((BI49-(Data!$O$47/2))/8),0)</f>
        <v>#VALUE!</v>
      </c>
      <c r="BO49" s="20" t="e">
        <f t="shared" ca="1" si="63"/>
        <v>#VALUE!</v>
      </c>
      <c r="BP49" s="3" t="str">
        <f>IF(Data!$D$31="","",IF(AND($C49="",$D49="",$E49="",$G49="",$H49="",$I49=""),"",IF(AND(BK49="Inside",BM49="Yes",BO49&gt;0),"Yes - "&amp;ROUND(BO49,2)&amp;" ft","No")))</f>
        <v/>
      </c>
      <c r="BQ49" s="3" t="str">
        <f ca="1">IF(Data!$O$47/2+2000&lt;BI49,"Beyond",IF(Data!$O$47/2&gt;BI49,"Behind","Inside"))</f>
        <v>Beyond</v>
      </c>
      <c r="BR49" s="20" t="e">
        <f ca="1">(TAN(Data!$AA$12*PI()/180)*BI49)+(Data!$O$47/2)</f>
        <v>#VALUE!</v>
      </c>
      <c r="BS49" s="3" t="e">
        <f t="shared" ca="1" si="64"/>
        <v>#VALUE!</v>
      </c>
      <c r="BT49" s="20" t="e">
        <f t="shared" ca="1" si="65"/>
        <v>#VALUE!</v>
      </c>
      <c r="BU49" s="20" t="e">
        <f t="shared" ca="1" si="66"/>
        <v>#VALUE!</v>
      </c>
      <c r="BV49" s="3" t="str">
        <f>IF(Data!$D$31="","",IF(AND($C49="",$D49="",$E49="",$G49="",$H49="",$I49=""),"",IF(AND(BQ49="Inside",BS49="Yes",BU49&gt;0),"Yes - "&amp;ROUND(BU49,2)&amp;" ft","No")))</f>
        <v/>
      </c>
      <c r="BW49" s="3" t="str">
        <f ca="1">IF(0-Data!$O$47/2&gt;BI49,"Behind",IF(Data!$O$47/2+4000&lt;BI49,"Beyond","Inside"))</f>
        <v>Beyond</v>
      </c>
      <c r="BX49" s="3" t="e">
        <f t="shared" ca="1" si="67"/>
        <v>#VALUE!</v>
      </c>
      <c r="BY49" s="20" t="e">
        <f t="shared" ca="1" si="68"/>
        <v>#VALUE!</v>
      </c>
      <c r="BZ49" s="20" t="e">
        <f t="shared" ca="1" si="69"/>
        <v>#VALUE!</v>
      </c>
      <c r="CA49" s="3" t="str">
        <f>IF(Data!$D$31="","",IF(AND($C49="",$D49="",$E49="",$G49="",$H49="",$I49=""),"",IF(AND(BW49="Inside",BX49="Yes",BZ49&gt;0),"Yes - "&amp;ROUND(BZ49,2)&amp;" ft","No")))</f>
        <v/>
      </c>
      <c r="CB49" s="9"/>
      <c r="CC49" t="str">
        <f t="shared" si="70"/>
        <v>No</v>
      </c>
      <c r="CD49" s="62" t="s">
        <v>555</v>
      </c>
      <c r="CE49" s="63">
        <f t="shared" si="7"/>
        <v>0</v>
      </c>
      <c r="CF49" s="63">
        <f t="shared" si="5"/>
        <v>260330.3</v>
      </c>
      <c r="CG49" s="63">
        <f t="shared" si="6"/>
        <v>800803.59</v>
      </c>
      <c r="CH49" s="63">
        <f t="shared" si="24"/>
        <v>354</v>
      </c>
      <c r="CI49" s="63">
        <f t="shared" si="9"/>
        <v>0</v>
      </c>
      <c r="CJ49" s="63">
        <f t="shared" si="10"/>
        <v>0.45480516874807703</v>
      </c>
      <c r="CK49" s="63">
        <f t="shared" si="11"/>
        <v>1.39860791215351</v>
      </c>
      <c r="CL49" s="63">
        <f t="shared" si="25"/>
        <v>354</v>
      </c>
      <c r="CM49" s="63">
        <f t="shared" si="26"/>
        <v>6.1784655520599303</v>
      </c>
      <c r="CN49" s="63">
        <f t="shared" si="12"/>
        <v>0</v>
      </c>
      <c r="CO49" s="63">
        <f t="shared" si="13"/>
        <v>1.00543891812539</v>
      </c>
      <c r="CP49" s="63">
        <f t="shared" si="14"/>
        <v>0</v>
      </c>
      <c r="CQ49" s="63">
        <f t="shared" si="15"/>
        <v>0.45480516874807703</v>
      </c>
      <c r="CR49" s="63">
        <f t="shared" si="16"/>
        <v>0</v>
      </c>
      <c r="CS49" s="63">
        <f t="shared" si="17"/>
        <v>0.45480516874807703</v>
      </c>
      <c r="CT49" s="63">
        <f t="shared" si="18"/>
        <v>1.39860791215351</v>
      </c>
      <c r="CU49" s="63">
        <f t="shared" si="19"/>
        <v>9.3200582056497208</v>
      </c>
      <c r="CV49" s="63">
        <f t="shared" si="20"/>
        <v>26.058416670000021</v>
      </c>
      <c r="CW49" s="63">
        <f t="shared" si="21"/>
        <v>80.134330559999924</v>
      </c>
      <c r="CX49" s="63">
        <f t="shared" si="22"/>
        <v>260330.30001199999</v>
      </c>
      <c r="CY49" s="63">
        <f t="shared" si="23"/>
        <v>800803.59001599997</v>
      </c>
    </row>
    <row r="50" spans="1:148" x14ac:dyDescent="0.25">
      <c r="A50" s="67">
        <v>40</v>
      </c>
      <c r="B50" s="84"/>
      <c r="C50" s="84"/>
      <c r="D50" s="84"/>
      <c r="E50" s="84"/>
      <c r="F50" s="109" t="str">
        <f t="shared" si="27"/>
        <v/>
      </c>
      <c r="G50" s="81"/>
      <c r="H50" s="81"/>
      <c r="I50" s="85"/>
      <c r="J50" s="77" t="str">
        <f t="shared" si="28"/>
        <v/>
      </c>
      <c r="K50" s="77" t="str">
        <f t="shared" si="29"/>
        <v/>
      </c>
      <c r="L50" s="77" t="str">
        <f t="shared" si="30"/>
        <v/>
      </c>
      <c r="M50" s="79" t="str">
        <f t="shared" si="31"/>
        <v/>
      </c>
      <c r="N50" s="79" t="str">
        <f t="shared" si="32"/>
        <v/>
      </c>
      <c r="O50" s="79" t="str">
        <f t="shared" si="33"/>
        <v/>
      </c>
      <c r="P50" s="77" t="str">
        <f t="shared" si="34"/>
        <v/>
      </c>
      <c r="Q50" s="77" t="str">
        <f t="shared" si="35"/>
        <v/>
      </c>
      <c r="R50" s="77" t="str">
        <f t="shared" si="36"/>
        <v/>
      </c>
      <c r="S50" s="8"/>
      <c r="T50" s="74">
        <f t="shared" si="37"/>
        <v>-80.134330559999924</v>
      </c>
      <c r="U50" s="66">
        <f t="shared" si="38"/>
        <v>26.058416670000021</v>
      </c>
      <c r="V50" s="66">
        <f t="shared" si="39"/>
        <v>1.524</v>
      </c>
      <c r="W50" s="3" t="str">
        <f t="shared" si="40"/>
        <v/>
      </c>
      <c r="X50" s="3" t="str">
        <f t="shared" si="41"/>
        <v/>
      </c>
      <c r="Y50" s="3" t="str">
        <f ca="1">IF(Data!$O$47/2+4000&lt;W50,"Beyond",IF(Data!$O$47/2&gt;W50,"Behind","Inside"))</f>
        <v>Beyond</v>
      </c>
      <c r="Z50" s="20" t="e">
        <f ca="1">IF((TAN(Data!$AA$5*PI()/180)*W50)+(Data!$O$47/2)&lt;Data!$O$47/2,Data!$O$47/2,IF((TAN(Data!$AA$5*PI()/180)*W50)+(Data!$O$47/2)&gt;250,250,(TAN(Data!$AA$5*PI()/180)*W50)+(Data!$O$47/2)))</f>
        <v>#VALUE!</v>
      </c>
      <c r="AA50" s="3" t="str">
        <f t="shared" ca="1" si="42"/>
        <v>No</v>
      </c>
      <c r="AB50" s="20" t="e">
        <f ca="1">IF(((W50-(Data!$O$47/2))/8)&gt;0,((W50-(Data!$O$47/2))/8),0)</f>
        <v>#VALUE!</v>
      </c>
      <c r="AC50" s="20" t="e">
        <f t="shared" ca="1" si="43"/>
        <v>#VALUE!</v>
      </c>
      <c r="AD50" s="3" t="str">
        <f>IF(Data!$D$29="","",IF(AND($C50="",$D50="",$E50="",$G50="",$H50="",$I50=""),"",IF(AND(Y50="Inside",AA50="Yes",AC50&gt;0),"Yes - "&amp;ROUND(AC50,2)&amp;" ft","No")))</f>
        <v/>
      </c>
      <c r="AE50" s="3" t="str">
        <f ca="1">IF(Data!$O$47/2+2000&lt;W50,"Beyond",IF(Data!$O$47/2&gt;W50,"Behind","Inside"))</f>
        <v>Beyond</v>
      </c>
      <c r="AF50" s="20" t="e">
        <f ca="1">(TAN(Data!$AA$12*PI()/180)*W50)+(Data!$O$47/2)</f>
        <v>#VALUE!</v>
      </c>
      <c r="AG50" s="3" t="e">
        <f t="shared" ca="1" si="44"/>
        <v>#VALUE!</v>
      </c>
      <c r="AH50" s="20" t="e">
        <f t="shared" ca="1" si="45"/>
        <v>#VALUE!</v>
      </c>
      <c r="AI50" s="20" t="e">
        <f t="shared" ca="1" si="46"/>
        <v>#VALUE!</v>
      </c>
      <c r="AJ50" s="3" t="str">
        <f>IF(Data!$D$29="","",IF(AND($C50="",$D50="",$E50="",$G50="",$H50="",$I50=""),"",IF(AND(AE50="Inside",AG50="Yes",AI50&gt;0),"Yes - "&amp;ROUND(AI50,2)&amp;" ft","No")))</f>
        <v/>
      </c>
      <c r="AK50" s="3" t="str">
        <f ca="1">IF(0-Data!$O$47/2&gt;W50,"Behind",IF(Data!$O$47/2+4000&lt;W50,"Beyond","Inside"))</f>
        <v>Beyond</v>
      </c>
      <c r="AL50" s="3" t="e">
        <f t="shared" ca="1" si="47"/>
        <v>#VALUE!</v>
      </c>
      <c r="AM50" s="20" t="e">
        <f t="shared" ca="1" si="48"/>
        <v>#VALUE!</v>
      </c>
      <c r="AN50" s="20" t="e">
        <f t="shared" ca="1" si="49"/>
        <v>#VALUE!</v>
      </c>
      <c r="AO50" s="3" t="str">
        <f>IF(Data!$D$29="","",IF(AND($C50="",$D50="",$E50="",$G50="",$H50="",$I50=""),"",IF(AND(AK50="Inside",AL50="Yes",AN50&gt;0),"Yes - "&amp;ROUND(AN50,2)&amp;" ft","No")))</f>
        <v/>
      </c>
      <c r="AP50" s="72" t="str">
        <f t="shared" si="50"/>
        <v/>
      </c>
      <c r="AQ50" s="72" t="str">
        <f t="shared" si="51"/>
        <v/>
      </c>
      <c r="AR50" s="72" t="str">
        <f ca="1">IF(Data!$O$47/2+4000&lt;AP50,"Beyond",IF(Data!$O$47/2&gt;AP50,"Behind","Inside"))</f>
        <v>Beyond</v>
      </c>
      <c r="AS50" s="72" t="e">
        <f ca="1">IF((TAN(Data!$AA$5*PI()/180)*AP50)+(Data!$O$47/2)&lt;Data!$O$47/2,Data!$O$47/2,IF((TAN(Data!$AA$5*PI()/180)*AP50)+(Data!$O$47/2)&gt;250,250,(TAN(Data!$AA$5*PI()/180)*AP50)+(Data!$O$47/2)))</f>
        <v>#VALUE!</v>
      </c>
      <c r="AT50" s="72" t="str">
        <f t="shared" ca="1" si="52"/>
        <v>No</v>
      </c>
      <c r="AU50" s="72" t="e">
        <f ca="1">IF(((AP50-(Data!$O$47/2))/8)&gt;0,((AP50-(Data!$O$47/2))/8),0)</f>
        <v>#VALUE!</v>
      </c>
      <c r="AV50" s="72" t="e">
        <f t="shared" ca="1" si="53"/>
        <v>#VALUE!</v>
      </c>
      <c r="AW50" s="72" t="str">
        <f>IF(Data!$D$30="","",IF(AND($C50="",$D50="",$E50="",$G50="",$H50="",$I50=""),"",IF(AND(AR50="Inside",AT50="Yes",AV50&gt;0),"Yes - "&amp;ROUND(AV50,2)&amp;" ft","No")))</f>
        <v/>
      </c>
      <c r="AX50" s="72" t="str">
        <f ca="1">IF(Data!$O$47/2+2000&lt;AP50,"Beyond",IF(Data!$O$47/2&gt;AP50,"Behind","Inside"))</f>
        <v>Beyond</v>
      </c>
      <c r="AY50" s="72" t="e">
        <f ca="1">(TAN(Data!$AA$12*PI()/180)*AP50)+(Data!$O$47/2)</f>
        <v>#VALUE!</v>
      </c>
      <c r="AZ50" s="72" t="e">
        <f t="shared" ca="1" si="54"/>
        <v>#VALUE!</v>
      </c>
      <c r="BA50" s="72" t="e">
        <f t="shared" ca="1" si="55"/>
        <v>#VALUE!</v>
      </c>
      <c r="BB50" s="72" t="e">
        <f t="shared" ca="1" si="56"/>
        <v>#VALUE!</v>
      </c>
      <c r="BC50" s="72" t="str">
        <f>IF(Data!$D$30="","",IF(AND($C50="",$D50="",$E50="",$G50="",$H50="",$I50=""),"",IF(AND(AX50="Inside",AZ50="Yes",BB50&gt;0),"Yes - "&amp;ROUND(BB50,2)&amp;" ft","No")))</f>
        <v/>
      </c>
      <c r="BD50" s="72" t="str">
        <f ca="1">IF(0-Data!$O$47/2&gt;AP50,"Behind",IF(Data!$O$47/2+4000&lt;AP50,"Beyond","Inside"))</f>
        <v>Beyond</v>
      </c>
      <c r="BE50" s="72" t="e">
        <f t="shared" ca="1" si="57"/>
        <v>#VALUE!</v>
      </c>
      <c r="BF50" s="72" t="e">
        <f t="shared" ca="1" si="58"/>
        <v>#VALUE!</v>
      </c>
      <c r="BG50" s="72" t="e">
        <f t="shared" ca="1" si="59"/>
        <v>#VALUE!</v>
      </c>
      <c r="BH50" s="72" t="str">
        <f>IF(Data!$D$30="","",IF(AND($C50="",$D50="",$E50="",$G50="",$H50="",$I50=""),"",IF(AND(BD50="Inside",BE50="Yes",BG50&gt;0),"Yes - "&amp;ROUND(BG50,2)&amp;" ft","No")))</f>
        <v/>
      </c>
      <c r="BI50" s="3" t="str">
        <f t="shared" si="60"/>
        <v/>
      </c>
      <c r="BJ50" s="3" t="str">
        <f t="shared" si="61"/>
        <v/>
      </c>
      <c r="BK50" s="3" t="str">
        <f ca="1">IF(Data!$O$47/2+4000&lt;BI50,"Beyond",IF(Data!$O$47/2&gt;BI50,"Behind","Inside"))</f>
        <v>Beyond</v>
      </c>
      <c r="BL50" s="20" t="e">
        <f ca="1">IF((TAN(Data!$AA$5*PI()/180)*BI50)+(Data!$O$47/2)&lt;Data!$O$47/2,Data!$O$47/2,IF((TAN(Data!$AA$5*PI()/180)*BI50)+(Data!$O$47/2)&gt;250,250,(TAN(Data!$AA$5*PI()/180)*BI50)+(Data!$O$47/2)))</f>
        <v>#VALUE!</v>
      </c>
      <c r="BM50" s="3" t="str">
        <f t="shared" ca="1" si="62"/>
        <v>No</v>
      </c>
      <c r="BN50" s="20" t="e">
        <f ca="1">IF(((BI50-(Data!$O$47/2))/8)&gt;0,((BI50-(Data!$O$47/2))/8),0)</f>
        <v>#VALUE!</v>
      </c>
      <c r="BO50" s="20" t="e">
        <f t="shared" ca="1" si="63"/>
        <v>#VALUE!</v>
      </c>
      <c r="BP50" s="3" t="str">
        <f>IF(Data!$D$31="","",IF(AND($C50="",$D50="",$E50="",$G50="",$H50="",$I50=""),"",IF(AND(BK50="Inside",BM50="Yes",BO50&gt;0),"Yes - "&amp;ROUND(BO50,2)&amp;" ft","No")))</f>
        <v/>
      </c>
      <c r="BQ50" s="3" t="str">
        <f ca="1">IF(Data!$O$47/2+2000&lt;BI50,"Beyond",IF(Data!$O$47/2&gt;BI50,"Behind","Inside"))</f>
        <v>Beyond</v>
      </c>
      <c r="BR50" s="20" t="e">
        <f ca="1">(TAN(Data!$AA$12*PI()/180)*BI50)+(Data!$O$47/2)</f>
        <v>#VALUE!</v>
      </c>
      <c r="BS50" s="3" t="e">
        <f t="shared" ca="1" si="64"/>
        <v>#VALUE!</v>
      </c>
      <c r="BT50" s="20" t="e">
        <f t="shared" ca="1" si="65"/>
        <v>#VALUE!</v>
      </c>
      <c r="BU50" s="20" t="e">
        <f t="shared" ca="1" si="66"/>
        <v>#VALUE!</v>
      </c>
      <c r="BV50" s="3" t="str">
        <f>IF(Data!$D$31="","",IF(AND($C50="",$D50="",$E50="",$G50="",$H50="",$I50=""),"",IF(AND(BQ50="Inside",BS50="Yes",BU50&gt;0),"Yes - "&amp;ROUND(BU50,2)&amp;" ft","No")))</f>
        <v/>
      </c>
      <c r="BW50" s="3" t="str">
        <f ca="1">IF(0-Data!$O$47/2&gt;BI50,"Behind",IF(Data!$O$47/2+4000&lt;BI50,"Beyond","Inside"))</f>
        <v>Beyond</v>
      </c>
      <c r="BX50" s="3" t="e">
        <f t="shared" ca="1" si="67"/>
        <v>#VALUE!</v>
      </c>
      <c r="BY50" s="20" t="e">
        <f t="shared" ca="1" si="68"/>
        <v>#VALUE!</v>
      </c>
      <c r="BZ50" s="20" t="e">
        <f t="shared" ca="1" si="69"/>
        <v>#VALUE!</v>
      </c>
      <c r="CA50" s="3" t="str">
        <f>IF(Data!$D$31="","",IF(AND($C50="",$D50="",$E50="",$G50="",$H50="",$I50=""),"",IF(AND(BW50="Inside",BX50="Yes",BZ50&gt;0),"Yes - "&amp;ROUND(BZ50,2)&amp;" ft","No")))</f>
        <v/>
      </c>
      <c r="CB50" s="9"/>
      <c r="CC50" t="str">
        <f t="shared" si="70"/>
        <v>No</v>
      </c>
      <c r="CD50" s="62" t="s">
        <v>556</v>
      </c>
      <c r="CE50" s="63">
        <f t="shared" si="7"/>
        <v>0</v>
      </c>
      <c r="CF50" s="63">
        <f t="shared" si="5"/>
        <v>260330.3</v>
      </c>
      <c r="CG50" s="63">
        <f t="shared" si="6"/>
        <v>800803.59</v>
      </c>
      <c r="CH50" s="63">
        <f t="shared" si="24"/>
        <v>354</v>
      </c>
      <c r="CI50" s="63">
        <f t="shared" si="9"/>
        <v>0</v>
      </c>
      <c r="CJ50" s="63">
        <f t="shared" si="10"/>
        <v>0.45480516874807703</v>
      </c>
      <c r="CK50" s="63">
        <f t="shared" si="11"/>
        <v>1.39860791215351</v>
      </c>
      <c r="CL50" s="63">
        <f t="shared" si="25"/>
        <v>354</v>
      </c>
      <c r="CM50" s="63">
        <f t="shared" si="26"/>
        <v>6.1784655520599303</v>
      </c>
      <c r="CN50" s="63">
        <f t="shared" si="12"/>
        <v>0</v>
      </c>
      <c r="CO50" s="63">
        <f t="shared" si="13"/>
        <v>1.00543891812539</v>
      </c>
      <c r="CP50" s="63">
        <f t="shared" si="14"/>
        <v>0</v>
      </c>
      <c r="CQ50" s="63">
        <f t="shared" si="15"/>
        <v>0.45480516874807703</v>
      </c>
      <c r="CR50" s="63">
        <f t="shared" si="16"/>
        <v>0</v>
      </c>
      <c r="CS50" s="63">
        <f t="shared" si="17"/>
        <v>0.45480516874807703</v>
      </c>
      <c r="CT50" s="63">
        <f t="shared" si="18"/>
        <v>1.39860791215351</v>
      </c>
      <c r="CU50" s="63">
        <f t="shared" si="19"/>
        <v>9.3200582056497208</v>
      </c>
      <c r="CV50" s="63">
        <f t="shared" si="20"/>
        <v>26.058416670000021</v>
      </c>
      <c r="CW50" s="63">
        <f t="shared" si="21"/>
        <v>80.134330559999924</v>
      </c>
      <c r="CX50" s="63">
        <f t="shared" si="22"/>
        <v>260330.30001199999</v>
      </c>
      <c r="CY50" s="63">
        <f t="shared" si="23"/>
        <v>800803.59001599997</v>
      </c>
    </row>
    <row r="51" spans="1:148" x14ac:dyDescent="0.25">
      <c r="A51" s="67">
        <v>41</v>
      </c>
      <c r="B51" s="84"/>
      <c r="C51" s="84"/>
      <c r="D51" s="84"/>
      <c r="E51" s="84"/>
      <c r="F51" s="109" t="str">
        <f t="shared" si="27"/>
        <v/>
      </c>
      <c r="G51" s="81"/>
      <c r="H51" s="81"/>
      <c r="I51" s="85"/>
      <c r="J51" s="77" t="str">
        <f t="shared" si="28"/>
        <v/>
      </c>
      <c r="K51" s="77" t="str">
        <f t="shared" si="29"/>
        <v/>
      </c>
      <c r="L51" s="77" t="str">
        <f t="shared" si="30"/>
        <v/>
      </c>
      <c r="M51" s="79" t="str">
        <f t="shared" si="31"/>
        <v/>
      </c>
      <c r="N51" s="79" t="str">
        <f t="shared" si="32"/>
        <v/>
      </c>
      <c r="O51" s="79" t="str">
        <f t="shared" si="33"/>
        <v/>
      </c>
      <c r="P51" s="77" t="str">
        <f t="shared" si="34"/>
        <v/>
      </c>
      <c r="Q51" s="77" t="str">
        <f t="shared" si="35"/>
        <v/>
      </c>
      <c r="R51" s="77" t="str">
        <f t="shared" si="36"/>
        <v/>
      </c>
      <c r="S51" s="8"/>
      <c r="T51" s="74">
        <f t="shared" si="37"/>
        <v>-80.134330559999924</v>
      </c>
      <c r="U51" s="66">
        <f t="shared" si="38"/>
        <v>26.058416670000021</v>
      </c>
      <c r="V51" s="66">
        <f t="shared" si="39"/>
        <v>1.524</v>
      </c>
      <c r="W51" s="3" t="str">
        <f t="shared" si="40"/>
        <v/>
      </c>
      <c r="X51" s="3" t="str">
        <f t="shared" si="41"/>
        <v/>
      </c>
      <c r="Y51" s="3" t="str">
        <f ca="1">IF(Data!$O$47/2+4000&lt;W51,"Beyond",IF(Data!$O$47/2&gt;W51,"Behind","Inside"))</f>
        <v>Beyond</v>
      </c>
      <c r="Z51" s="20" t="e">
        <f ca="1">IF((TAN(Data!$AA$5*PI()/180)*W51)+(Data!$O$47/2)&lt;Data!$O$47/2,Data!$O$47/2,IF((TAN(Data!$AA$5*PI()/180)*W51)+(Data!$O$47/2)&gt;250,250,(TAN(Data!$AA$5*PI()/180)*W51)+(Data!$O$47/2)))</f>
        <v>#VALUE!</v>
      </c>
      <c r="AA51" s="3" t="str">
        <f t="shared" ca="1" si="42"/>
        <v>No</v>
      </c>
      <c r="AB51" s="20" t="e">
        <f ca="1">IF(((W51-(Data!$O$47/2))/8)&gt;0,((W51-(Data!$O$47/2))/8),0)</f>
        <v>#VALUE!</v>
      </c>
      <c r="AC51" s="20" t="e">
        <f t="shared" ca="1" si="43"/>
        <v>#VALUE!</v>
      </c>
      <c r="AD51" s="3" t="str">
        <f>IF(Data!$D$29="","",IF(AND($C51="",$D51="",$E51="",$G51="",$H51="",$I51=""),"",IF(AND(Y51="Inside",AA51="Yes",AC51&gt;0),"Yes - "&amp;ROUND(AC51,2)&amp;" ft","No")))</f>
        <v/>
      </c>
      <c r="AE51" s="3" t="str">
        <f ca="1">IF(Data!$O$47/2+2000&lt;W51,"Beyond",IF(Data!$O$47/2&gt;W51,"Behind","Inside"))</f>
        <v>Beyond</v>
      </c>
      <c r="AF51" s="20" t="e">
        <f ca="1">(TAN(Data!$AA$12*PI()/180)*W51)+(Data!$O$47/2)</f>
        <v>#VALUE!</v>
      </c>
      <c r="AG51" s="3" t="e">
        <f t="shared" ca="1" si="44"/>
        <v>#VALUE!</v>
      </c>
      <c r="AH51" s="20" t="e">
        <f t="shared" ca="1" si="45"/>
        <v>#VALUE!</v>
      </c>
      <c r="AI51" s="20" t="e">
        <f t="shared" ca="1" si="46"/>
        <v>#VALUE!</v>
      </c>
      <c r="AJ51" s="3" t="str">
        <f>IF(Data!$D$29="","",IF(AND($C51="",$D51="",$E51="",$G51="",$H51="",$I51=""),"",IF(AND(AE51="Inside",AG51="Yes",AI51&gt;0),"Yes - "&amp;ROUND(AI51,2)&amp;" ft","No")))</f>
        <v/>
      </c>
      <c r="AK51" s="3" t="str">
        <f ca="1">IF(0-Data!$O$47/2&gt;W51,"Behind",IF(Data!$O$47/2+4000&lt;W51,"Beyond","Inside"))</f>
        <v>Beyond</v>
      </c>
      <c r="AL51" s="3" t="e">
        <f t="shared" ca="1" si="47"/>
        <v>#VALUE!</v>
      </c>
      <c r="AM51" s="20" t="e">
        <f t="shared" ca="1" si="48"/>
        <v>#VALUE!</v>
      </c>
      <c r="AN51" s="20" t="e">
        <f t="shared" ca="1" si="49"/>
        <v>#VALUE!</v>
      </c>
      <c r="AO51" s="3" t="str">
        <f>IF(Data!$D$29="","",IF(AND($C51="",$D51="",$E51="",$G51="",$H51="",$I51=""),"",IF(AND(AK51="Inside",AL51="Yes",AN51&gt;0),"Yes - "&amp;ROUND(AN51,2)&amp;" ft","No")))</f>
        <v/>
      </c>
      <c r="AP51" s="72" t="str">
        <f t="shared" si="50"/>
        <v/>
      </c>
      <c r="AQ51" s="72" t="str">
        <f t="shared" si="51"/>
        <v/>
      </c>
      <c r="AR51" s="72" t="str">
        <f ca="1">IF(Data!$O$47/2+4000&lt;AP51,"Beyond",IF(Data!$O$47/2&gt;AP51,"Behind","Inside"))</f>
        <v>Beyond</v>
      </c>
      <c r="AS51" s="72" t="e">
        <f ca="1">IF((TAN(Data!$AA$5*PI()/180)*AP51)+(Data!$O$47/2)&lt;Data!$O$47/2,Data!$O$47/2,IF((TAN(Data!$AA$5*PI()/180)*AP51)+(Data!$O$47/2)&gt;250,250,(TAN(Data!$AA$5*PI()/180)*AP51)+(Data!$O$47/2)))</f>
        <v>#VALUE!</v>
      </c>
      <c r="AT51" s="72" t="str">
        <f t="shared" ca="1" si="52"/>
        <v>No</v>
      </c>
      <c r="AU51" s="72" t="e">
        <f ca="1">IF(((AP51-(Data!$O$47/2))/8)&gt;0,((AP51-(Data!$O$47/2))/8),0)</f>
        <v>#VALUE!</v>
      </c>
      <c r="AV51" s="72" t="e">
        <f t="shared" ca="1" si="53"/>
        <v>#VALUE!</v>
      </c>
      <c r="AW51" s="72" t="str">
        <f>IF(Data!$D$30="","",IF(AND($C51="",$D51="",$E51="",$G51="",$H51="",$I51=""),"",IF(AND(AR51="Inside",AT51="Yes",AV51&gt;0),"Yes - "&amp;ROUND(AV51,2)&amp;" ft","No")))</f>
        <v/>
      </c>
      <c r="AX51" s="72" t="str">
        <f ca="1">IF(Data!$O$47/2+2000&lt;AP51,"Beyond",IF(Data!$O$47/2&gt;AP51,"Behind","Inside"))</f>
        <v>Beyond</v>
      </c>
      <c r="AY51" s="72" t="e">
        <f ca="1">(TAN(Data!$AA$12*PI()/180)*AP51)+(Data!$O$47/2)</f>
        <v>#VALUE!</v>
      </c>
      <c r="AZ51" s="72" t="e">
        <f t="shared" ca="1" si="54"/>
        <v>#VALUE!</v>
      </c>
      <c r="BA51" s="72" t="e">
        <f t="shared" ca="1" si="55"/>
        <v>#VALUE!</v>
      </c>
      <c r="BB51" s="72" t="e">
        <f t="shared" ca="1" si="56"/>
        <v>#VALUE!</v>
      </c>
      <c r="BC51" s="72" t="str">
        <f>IF(Data!$D$30="","",IF(AND($C51="",$D51="",$E51="",$G51="",$H51="",$I51=""),"",IF(AND(AX51="Inside",AZ51="Yes",BB51&gt;0),"Yes - "&amp;ROUND(BB51,2)&amp;" ft","No")))</f>
        <v/>
      </c>
      <c r="BD51" s="72" t="str">
        <f ca="1">IF(0-Data!$O$47/2&gt;AP51,"Behind",IF(Data!$O$47/2+4000&lt;AP51,"Beyond","Inside"))</f>
        <v>Beyond</v>
      </c>
      <c r="BE51" s="72" t="e">
        <f t="shared" ca="1" si="57"/>
        <v>#VALUE!</v>
      </c>
      <c r="BF51" s="72" t="e">
        <f t="shared" ca="1" si="58"/>
        <v>#VALUE!</v>
      </c>
      <c r="BG51" s="72" t="e">
        <f t="shared" ca="1" si="59"/>
        <v>#VALUE!</v>
      </c>
      <c r="BH51" s="72" t="str">
        <f>IF(Data!$D$30="","",IF(AND($C51="",$D51="",$E51="",$G51="",$H51="",$I51=""),"",IF(AND(BD51="Inside",BE51="Yes",BG51&gt;0),"Yes - "&amp;ROUND(BG51,2)&amp;" ft","No")))</f>
        <v/>
      </c>
      <c r="BI51" s="3" t="str">
        <f t="shared" si="60"/>
        <v/>
      </c>
      <c r="BJ51" s="3" t="str">
        <f t="shared" si="61"/>
        <v/>
      </c>
      <c r="BK51" s="3" t="str">
        <f ca="1">IF(Data!$O$47/2+4000&lt;BI51,"Beyond",IF(Data!$O$47/2&gt;BI51,"Behind","Inside"))</f>
        <v>Beyond</v>
      </c>
      <c r="BL51" s="20" t="e">
        <f ca="1">IF((TAN(Data!$AA$5*PI()/180)*BI51)+(Data!$O$47/2)&lt;Data!$O$47/2,Data!$O$47/2,IF((TAN(Data!$AA$5*PI()/180)*BI51)+(Data!$O$47/2)&gt;250,250,(TAN(Data!$AA$5*PI()/180)*BI51)+(Data!$O$47/2)))</f>
        <v>#VALUE!</v>
      </c>
      <c r="BM51" s="3" t="str">
        <f t="shared" ca="1" si="62"/>
        <v>No</v>
      </c>
      <c r="BN51" s="20" t="e">
        <f ca="1">IF(((BI51-(Data!$O$47/2))/8)&gt;0,((BI51-(Data!$O$47/2))/8),0)</f>
        <v>#VALUE!</v>
      </c>
      <c r="BO51" s="20" t="e">
        <f t="shared" ca="1" si="63"/>
        <v>#VALUE!</v>
      </c>
      <c r="BP51" s="3" t="str">
        <f>IF(Data!$D$31="","",IF(AND($C51="",$D51="",$E51="",$G51="",$H51="",$I51=""),"",IF(AND(BK51="Inside",BM51="Yes",BO51&gt;0),"Yes - "&amp;ROUND(BO51,2)&amp;" ft","No")))</f>
        <v/>
      </c>
      <c r="BQ51" s="3" t="str">
        <f ca="1">IF(Data!$O$47/2+2000&lt;BI51,"Beyond",IF(Data!$O$47/2&gt;BI51,"Behind","Inside"))</f>
        <v>Beyond</v>
      </c>
      <c r="BR51" s="20" t="e">
        <f ca="1">(TAN(Data!$AA$12*PI()/180)*BI51)+(Data!$O$47/2)</f>
        <v>#VALUE!</v>
      </c>
      <c r="BS51" s="3" t="e">
        <f t="shared" ca="1" si="64"/>
        <v>#VALUE!</v>
      </c>
      <c r="BT51" s="20" t="e">
        <f t="shared" ca="1" si="65"/>
        <v>#VALUE!</v>
      </c>
      <c r="BU51" s="20" t="e">
        <f t="shared" ca="1" si="66"/>
        <v>#VALUE!</v>
      </c>
      <c r="BV51" s="3" t="str">
        <f>IF(Data!$D$31="","",IF(AND($C51="",$D51="",$E51="",$G51="",$H51="",$I51=""),"",IF(AND(BQ51="Inside",BS51="Yes",BU51&gt;0),"Yes - "&amp;ROUND(BU51,2)&amp;" ft","No")))</f>
        <v/>
      </c>
      <c r="BW51" s="3" t="str">
        <f ca="1">IF(0-Data!$O$47/2&gt;BI51,"Behind",IF(Data!$O$47/2+4000&lt;BI51,"Beyond","Inside"))</f>
        <v>Beyond</v>
      </c>
      <c r="BX51" s="3" t="e">
        <f t="shared" ca="1" si="67"/>
        <v>#VALUE!</v>
      </c>
      <c r="BY51" s="20" t="e">
        <f t="shared" ca="1" si="68"/>
        <v>#VALUE!</v>
      </c>
      <c r="BZ51" s="20" t="e">
        <f t="shared" ca="1" si="69"/>
        <v>#VALUE!</v>
      </c>
      <c r="CA51" s="3" t="str">
        <f>IF(Data!$D$31="","",IF(AND($C51="",$D51="",$E51="",$G51="",$H51="",$I51=""),"",IF(AND(BW51="Inside",BX51="Yes",BZ51&gt;0),"Yes - "&amp;ROUND(BZ51,2)&amp;" ft","No")))</f>
        <v/>
      </c>
      <c r="CB51" s="9"/>
      <c r="CC51" t="str">
        <f t="shared" si="70"/>
        <v>No</v>
      </c>
      <c r="CD51" s="62" t="s">
        <v>557</v>
      </c>
      <c r="CE51" s="63">
        <f t="shared" si="7"/>
        <v>0</v>
      </c>
      <c r="CF51" s="63">
        <f t="shared" si="5"/>
        <v>260330.3</v>
      </c>
      <c r="CG51" s="63">
        <f t="shared" si="6"/>
        <v>800803.59</v>
      </c>
      <c r="CH51" s="63">
        <f t="shared" si="24"/>
        <v>354</v>
      </c>
      <c r="CI51" s="63">
        <f t="shared" si="9"/>
        <v>0</v>
      </c>
      <c r="CJ51" s="63">
        <f t="shared" si="10"/>
        <v>0.45480516874807703</v>
      </c>
      <c r="CK51" s="63">
        <f t="shared" si="11"/>
        <v>1.39860791215351</v>
      </c>
      <c r="CL51" s="63">
        <f t="shared" si="25"/>
        <v>354</v>
      </c>
      <c r="CM51" s="63">
        <f t="shared" si="26"/>
        <v>6.1784655520599303</v>
      </c>
      <c r="CN51" s="63">
        <f t="shared" si="12"/>
        <v>0</v>
      </c>
      <c r="CO51" s="63">
        <f t="shared" si="13"/>
        <v>1.00543891812539</v>
      </c>
      <c r="CP51" s="63">
        <f t="shared" si="14"/>
        <v>0</v>
      </c>
      <c r="CQ51" s="63">
        <f t="shared" si="15"/>
        <v>0.45480516874807703</v>
      </c>
      <c r="CR51" s="63">
        <f t="shared" si="16"/>
        <v>0</v>
      </c>
      <c r="CS51" s="63">
        <f t="shared" si="17"/>
        <v>0.45480516874807703</v>
      </c>
      <c r="CT51" s="63">
        <f t="shared" si="18"/>
        <v>1.39860791215351</v>
      </c>
      <c r="CU51" s="63">
        <f t="shared" si="19"/>
        <v>9.3200582056497208</v>
      </c>
      <c r="CV51" s="63">
        <f t="shared" si="20"/>
        <v>26.058416670000021</v>
      </c>
      <c r="CW51" s="63">
        <f t="shared" si="21"/>
        <v>80.134330559999924</v>
      </c>
      <c r="CX51" s="63">
        <f t="shared" si="22"/>
        <v>260330.30001199999</v>
      </c>
      <c r="CY51" s="63">
        <f t="shared" si="23"/>
        <v>800803.59001599997</v>
      </c>
    </row>
    <row r="52" spans="1:148" x14ac:dyDescent="0.25">
      <c r="A52" s="67">
        <v>42</v>
      </c>
      <c r="B52" s="84"/>
      <c r="C52" s="84"/>
      <c r="D52" s="84"/>
      <c r="E52" s="84"/>
      <c r="F52" s="109" t="str">
        <f t="shared" si="27"/>
        <v/>
      </c>
      <c r="G52" s="81"/>
      <c r="H52" s="81"/>
      <c r="I52" s="85"/>
      <c r="J52" s="77" t="str">
        <f t="shared" si="28"/>
        <v/>
      </c>
      <c r="K52" s="77" t="str">
        <f t="shared" si="29"/>
        <v/>
      </c>
      <c r="L52" s="77" t="str">
        <f t="shared" si="30"/>
        <v/>
      </c>
      <c r="M52" s="79" t="str">
        <f t="shared" si="31"/>
        <v/>
      </c>
      <c r="N52" s="79" t="str">
        <f t="shared" si="32"/>
        <v/>
      </c>
      <c r="O52" s="79" t="str">
        <f t="shared" si="33"/>
        <v/>
      </c>
      <c r="P52" s="77" t="str">
        <f t="shared" si="34"/>
        <v/>
      </c>
      <c r="Q52" s="77" t="str">
        <f t="shared" si="35"/>
        <v/>
      </c>
      <c r="R52" s="77" t="str">
        <f t="shared" si="36"/>
        <v/>
      </c>
      <c r="S52" s="8"/>
      <c r="T52" s="74">
        <f t="shared" si="37"/>
        <v>-80.134330559999924</v>
      </c>
      <c r="U52" s="66">
        <f t="shared" si="38"/>
        <v>26.058416670000021</v>
      </c>
      <c r="V52" s="66">
        <f t="shared" si="39"/>
        <v>1.524</v>
      </c>
      <c r="W52" s="3" t="str">
        <f t="shared" si="40"/>
        <v/>
      </c>
      <c r="X52" s="3" t="str">
        <f t="shared" si="41"/>
        <v/>
      </c>
      <c r="Y52" s="3" t="str">
        <f ca="1">IF(Data!$O$47/2+4000&lt;W52,"Beyond",IF(Data!$O$47/2&gt;W52,"Behind","Inside"))</f>
        <v>Beyond</v>
      </c>
      <c r="Z52" s="20" t="e">
        <f ca="1">IF((TAN(Data!$AA$5*PI()/180)*W52)+(Data!$O$47/2)&lt;Data!$O$47/2,Data!$O$47/2,IF((TAN(Data!$AA$5*PI()/180)*W52)+(Data!$O$47/2)&gt;250,250,(TAN(Data!$AA$5*PI()/180)*W52)+(Data!$O$47/2)))</f>
        <v>#VALUE!</v>
      </c>
      <c r="AA52" s="3" t="str">
        <f t="shared" ca="1" si="42"/>
        <v>No</v>
      </c>
      <c r="AB52" s="20" t="e">
        <f ca="1">IF(((W52-(Data!$O$47/2))/8)&gt;0,((W52-(Data!$O$47/2))/8),0)</f>
        <v>#VALUE!</v>
      </c>
      <c r="AC52" s="20" t="e">
        <f t="shared" ca="1" si="43"/>
        <v>#VALUE!</v>
      </c>
      <c r="AD52" s="3" t="str">
        <f>IF(Data!$D$29="","",IF(AND($C52="",$D52="",$E52="",$G52="",$H52="",$I52=""),"",IF(AND(Y52="Inside",AA52="Yes",AC52&gt;0),"Yes - "&amp;ROUND(AC52,2)&amp;" ft","No")))</f>
        <v/>
      </c>
      <c r="AE52" s="3" t="str">
        <f ca="1">IF(Data!$O$47/2+2000&lt;W52,"Beyond",IF(Data!$O$47/2&gt;W52,"Behind","Inside"))</f>
        <v>Beyond</v>
      </c>
      <c r="AF52" s="20" t="e">
        <f ca="1">(TAN(Data!$AA$12*PI()/180)*W52)+(Data!$O$47/2)</f>
        <v>#VALUE!</v>
      </c>
      <c r="AG52" s="3" t="e">
        <f t="shared" ca="1" si="44"/>
        <v>#VALUE!</v>
      </c>
      <c r="AH52" s="20" t="e">
        <f t="shared" ca="1" si="45"/>
        <v>#VALUE!</v>
      </c>
      <c r="AI52" s="20" t="e">
        <f t="shared" ca="1" si="46"/>
        <v>#VALUE!</v>
      </c>
      <c r="AJ52" s="3" t="str">
        <f>IF(Data!$D$29="","",IF(AND($C52="",$D52="",$E52="",$G52="",$H52="",$I52=""),"",IF(AND(AE52="Inside",AG52="Yes",AI52&gt;0),"Yes - "&amp;ROUND(AI52,2)&amp;" ft","No")))</f>
        <v/>
      </c>
      <c r="AK52" s="3" t="str">
        <f ca="1">IF(0-Data!$O$47/2&gt;W52,"Behind",IF(Data!$O$47/2+4000&lt;W52,"Beyond","Inside"))</f>
        <v>Beyond</v>
      </c>
      <c r="AL52" s="3" t="e">
        <f t="shared" ca="1" si="47"/>
        <v>#VALUE!</v>
      </c>
      <c r="AM52" s="20" t="e">
        <f t="shared" ca="1" si="48"/>
        <v>#VALUE!</v>
      </c>
      <c r="AN52" s="20" t="e">
        <f t="shared" ca="1" si="49"/>
        <v>#VALUE!</v>
      </c>
      <c r="AO52" s="3" t="str">
        <f>IF(Data!$D$29="","",IF(AND($C52="",$D52="",$E52="",$G52="",$H52="",$I52=""),"",IF(AND(AK52="Inside",AL52="Yes",AN52&gt;0),"Yes - "&amp;ROUND(AN52,2)&amp;" ft","No")))</f>
        <v/>
      </c>
      <c r="AP52" s="72" t="str">
        <f t="shared" si="50"/>
        <v/>
      </c>
      <c r="AQ52" s="72" t="str">
        <f t="shared" si="51"/>
        <v/>
      </c>
      <c r="AR52" s="72" t="str">
        <f ca="1">IF(Data!$O$47/2+4000&lt;AP52,"Beyond",IF(Data!$O$47/2&gt;AP52,"Behind","Inside"))</f>
        <v>Beyond</v>
      </c>
      <c r="AS52" s="72" t="e">
        <f ca="1">IF((TAN(Data!$AA$5*PI()/180)*AP52)+(Data!$O$47/2)&lt;Data!$O$47/2,Data!$O$47/2,IF((TAN(Data!$AA$5*PI()/180)*AP52)+(Data!$O$47/2)&gt;250,250,(TAN(Data!$AA$5*PI()/180)*AP52)+(Data!$O$47/2)))</f>
        <v>#VALUE!</v>
      </c>
      <c r="AT52" s="72" t="str">
        <f t="shared" ca="1" si="52"/>
        <v>No</v>
      </c>
      <c r="AU52" s="72" t="e">
        <f ca="1">IF(((AP52-(Data!$O$47/2))/8)&gt;0,((AP52-(Data!$O$47/2))/8),0)</f>
        <v>#VALUE!</v>
      </c>
      <c r="AV52" s="72" t="e">
        <f t="shared" ca="1" si="53"/>
        <v>#VALUE!</v>
      </c>
      <c r="AW52" s="72" t="str">
        <f>IF(Data!$D$30="","",IF(AND($C52="",$D52="",$E52="",$G52="",$H52="",$I52=""),"",IF(AND(AR52="Inside",AT52="Yes",AV52&gt;0),"Yes - "&amp;ROUND(AV52,2)&amp;" ft","No")))</f>
        <v/>
      </c>
      <c r="AX52" s="72" t="str">
        <f ca="1">IF(Data!$O$47/2+2000&lt;AP52,"Beyond",IF(Data!$O$47/2&gt;AP52,"Behind","Inside"))</f>
        <v>Beyond</v>
      </c>
      <c r="AY52" s="72" t="e">
        <f ca="1">(TAN(Data!$AA$12*PI()/180)*AP52)+(Data!$O$47/2)</f>
        <v>#VALUE!</v>
      </c>
      <c r="AZ52" s="72" t="e">
        <f t="shared" ca="1" si="54"/>
        <v>#VALUE!</v>
      </c>
      <c r="BA52" s="72" t="e">
        <f t="shared" ca="1" si="55"/>
        <v>#VALUE!</v>
      </c>
      <c r="BB52" s="72" t="e">
        <f t="shared" ca="1" si="56"/>
        <v>#VALUE!</v>
      </c>
      <c r="BC52" s="72" t="str">
        <f>IF(Data!$D$30="","",IF(AND($C52="",$D52="",$E52="",$G52="",$H52="",$I52=""),"",IF(AND(AX52="Inside",AZ52="Yes",BB52&gt;0),"Yes - "&amp;ROUND(BB52,2)&amp;" ft","No")))</f>
        <v/>
      </c>
      <c r="BD52" s="72" t="str">
        <f ca="1">IF(0-Data!$O$47/2&gt;AP52,"Behind",IF(Data!$O$47/2+4000&lt;AP52,"Beyond","Inside"))</f>
        <v>Beyond</v>
      </c>
      <c r="BE52" s="72" t="e">
        <f t="shared" ca="1" si="57"/>
        <v>#VALUE!</v>
      </c>
      <c r="BF52" s="72" t="e">
        <f t="shared" ca="1" si="58"/>
        <v>#VALUE!</v>
      </c>
      <c r="BG52" s="72" t="e">
        <f t="shared" ca="1" si="59"/>
        <v>#VALUE!</v>
      </c>
      <c r="BH52" s="72" t="str">
        <f>IF(Data!$D$30="","",IF(AND($C52="",$D52="",$E52="",$G52="",$H52="",$I52=""),"",IF(AND(BD52="Inside",BE52="Yes",BG52&gt;0),"Yes - "&amp;ROUND(BG52,2)&amp;" ft","No")))</f>
        <v/>
      </c>
      <c r="BI52" s="3" t="str">
        <f t="shared" si="60"/>
        <v/>
      </c>
      <c r="BJ52" s="3" t="str">
        <f t="shared" si="61"/>
        <v/>
      </c>
      <c r="BK52" s="3" t="str">
        <f ca="1">IF(Data!$O$47/2+4000&lt;BI52,"Beyond",IF(Data!$O$47/2&gt;BI52,"Behind","Inside"))</f>
        <v>Beyond</v>
      </c>
      <c r="BL52" s="20" t="e">
        <f ca="1">IF((TAN(Data!$AA$5*PI()/180)*BI52)+(Data!$O$47/2)&lt;Data!$O$47/2,Data!$O$47/2,IF((TAN(Data!$AA$5*PI()/180)*BI52)+(Data!$O$47/2)&gt;250,250,(TAN(Data!$AA$5*PI()/180)*BI52)+(Data!$O$47/2)))</f>
        <v>#VALUE!</v>
      </c>
      <c r="BM52" s="3" t="str">
        <f t="shared" ca="1" si="62"/>
        <v>No</v>
      </c>
      <c r="BN52" s="20" t="e">
        <f ca="1">IF(((BI52-(Data!$O$47/2))/8)&gt;0,((BI52-(Data!$O$47/2))/8),0)</f>
        <v>#VALUE!</v>
      </c>
      <c r="BO52" s="20" t="e">
        <f t="shared" ca="1" si="63"/>
        <v>#VALUE!</v>
      </c>
      <c r="BP52" s="3" t="str">
        <f>IF(Data!$D$31="","",IF(AND($C52="",$D52="",$E52="",$G52="",$H52="",$I52=""),"",IF(AND(BK52="Inside",BM52="Yes",BO52&gt;0),"Yes - "&amp;ROUND(BO52,2)&amp;" ft","No")))</f>
        <v/>
      </c>
      <c r="BQ52" s="3" t="str">
        <f ca="1">IF(Data!$O$47/2+2000&lt;BI52,"Beyond",IF(Data!$O$47/2&gt;BI52,"Behind","Inside"))</f>
        <v>Beyond</v>
      </c>
      <c r="BR52" s="20" t="e">
        <f ca="1">(TAN(Data!$AA$12*PI()/180)*BI52)+(Data!$O$47/2)</f>
        <v>#VALUE!</v>
      </c>
      <c r="BS52" s="3" t="e">
        <f t="shared" ca="1" si="64"/>
        <v>#VALUE!</v>
      </c>
      <c r="BT52" s="20" t="e">
        <f t="shared" ca="1" si="65"/>
        <v>#VALUE!</v>
      </c>
      <c r="BU52" s="20" t="e">
        <f t="shared" ca="1" si="66"/>
        <v>#VALUE!</v>
      </c>
      <c r="BV52" s="3" t="str">
        <f>IF(Data!$D$31="","",IF(AND($C52="",$D52="",$E52="",$G52="",$H52="",$I52=""),"",IF(AND(BQ52="Inside",BS52="Yes",BU52&gt;0),"Yes - "&amp;ROUND(BU52,2)&amp;" ft","No")))</f>
        <v/>
      </c>
      <c r="BW52" s="3" t="str">
        <f ca="1">IF(0-Data!$O$47/2&gt;BI52,"Behind",IF(Data!$O$47/2+4000&lt;BI52,"Beyond","Inside"))</f>
        <v>Beyond</v>
      </c>
      <c r="BX52" s="3" t="e">
        <f t="shared" ca="1" si="67"/>
        <v>#VALUE!</v>
      </c>
      <c r="BY52" s="20" t="e">
        <f t="shared" ca="1" si="68"/>
        <v>#VALUE!</v>
      </c>
      <c r="BZ52" s="20" t="e">
        <f t="shared" ca="1" si="69"/>
        <v>#VALUE!</v>
      </c>
      <c r="CA52" s="3" t="str">
        <f>IF(Data!$D$31="","",IF(AND($C52="",$D52="",$E52="",$G52="",$H52="",$I52=""),"",IF(AND(BW52="Inside",BX52="Yes",BZ52&gt;0),"Yes - "&amp;ROUND(BZ52,2)&amp;" ft","No")))</f>
        <v/>
      </c>
      <c r="CB52" s="9"/>
      <c r="CC52" t="str">
        <f t="shared" si="70"/>
        <v>No</v>
      </c>
      <c r="CD52" s="62" t="s">
        <v>558</v>
      </c>
      <c r="CE52" s="63">
        <f t="shared" si="7"/>
        <v>0</v>
      </c>
      <c r="CF52" s="63">
        <f t="shared" si="5"/>
        <v>260330.3</v>
      </c>
      <c r="CG52" s="63">
        <f t="shared" si="6"/>
        <v>800803.59</v>
      </c>
      <c r="CH52" s="63">
        <f t="shared" si="24"/>
        <v>354</v>
      </c>
      <c r="CI52" s="63">
        <f t="shared" si="9"/>
        <v>0</v>
      </c>
      <c r="CJ52" s="63">
        <f t="shared" si="10"/>
        <v>0.45480516874807703</v>
      </c>
      <c r="CK52" s="63">
        <f t="shared" si="11"/>
        <v>1.39860791215351</v>
      </c>
      <c r="CL52" s="63">
        <f t="shared" si="25"/>
        <v>354</v>
      </c>
      <c r="CM52" s="63">
        <f t="shared" si="26"/>
        <v>6.1784655520599303</v>
      </c>
      <c r="CN52" s="63">
        <f t="shared" si="12"/>
        <v>0</v>
      </c>
      <c r="CO52" s="63">
        <f t="shared" si="13"/>
        <v>1.00543891812539</v>
      </c>
      <c r="CP52" s="63">
        <f t="shared" si="14"/>
        <v>0</v>
      </c>
      <c r="CQ52" s="63">
        <f t="shared" si="15"/>
        <v>0.45480516874807703</v>
      </c>
      <c r="CR52" s="63">
        <f t="shared" si="16"/>
        <v>0</v>
      </c>
      <c r="CS52" s="63">
        <f t="shared" si="17"/>
        <v>0.45480516874807703</v>
      </c>
      <c r="CT52" s="63">
        <f t="shared" si="18"/>
        <v>1.39860791215351</v>
      </c>
      <c r="CU52" s="63">
        <f t="shared" si="19"/>
        <v>9.3200582056497208</v>
      </c>
      <c r="CV52" s="63">
        <f t="shared" si="20"/>
        <v>26.058416670000021</v>
      </c>
      <c r="CW52" s="63">
        <f t="shared" si="21"/>
        <v>80.134330559999924</v>
      </c>
      <c r="CX52" s="63">
        <f t="shared" si="22"/>
        <v>260330.30001199999</v>
      </c>
      <c r="CY52" s="63">
        <f t="shared" si="23"/>
        <v>800803.59001599997</v>
      </c>
    </row>
    <row r="53" spans="1:148" x14ac:dyDescent="0.25">
      <c r="A53" s="67">
        <v>43</v>
      </c>
      <c r="B53" s="84"/>
      <c r="C53" s="84"/>
      <c r="D53" s="84"/>
      <c r="E53" s="84"/>
      <c r="F53" s="109" t="str">
        <f t="shared" si="27"/>
        <v/>
      </c>
      <c r="G53" s="81"/>
      <c r="H53" s="81"/>
      <c r="I53" s="85"/>
      <c r="J53" s="77" t="str">
        <f t="shared" si="28"/>
        <v/>
      </c>
      <c r="K53" s="77" t="str">
        <f t="shared" si="29"/>
        <v/>
      </c>
      <c r="L53" s="77" t="str">
        <f t="shared" si="30"/>
        <v/>
      </c>
      <c r="M53" s="79" t="str">
        <f t="shared" si="31"/>
        <v/>
      </c>
      <c r="N53" s="79" t="str">
        <f t="shared" si="32"/>
        <v/>
      </c>
      <c r="O53" s="79" t="str">
        <f t="shared" si="33"/>
        <v/>
      </c>
      <c r="P53" s="77" t="str">
        <f t="shared" si="34"/>
        <v/>
      </c>
      <c r="Q53" s="77" t="str">
        <f t="shared" si="35"/>
        <v/>
      </c>
      <c r="R53" s="77" t="str">
        <f t="shared" si="36"/>
        <v/>
      </c>
      <c r="S53" s="8"/>
      <c r="T53" s="74">
        <f t="shared" si="37"/>
        <v>-80.134330559999924</v>
      </c>
      <c r="U53" s="66">
        <f t="shared" si="38"/>
        <v>26.058416670000021</v>
      </c>
      <c r="V53" s="66">
        <f t="shared" si="39"/>
        <v>1.524</v>
      </c>
      <c r="W53" s="3" t="str">
        <f t="shared" si="40"/>
        <v/>
      </c>
      <c r="X53" s="3" t="str">
        <f t="shared" si="41"/>
        <v/>
      </c>
      <c r="Y53" s="3" t="str">
        <f ca="1">IF(Data!$O$47/2+4000&lt;W53,"Beyond",IF(Data!$O$47/2&gt;W53,"Behind","Inside"))</f>
        <v>Beyond</v>
      </c>
      <c r="Z53" s="20" t="e">
        <f ca="1">IF((TAN(Data!$AA$5*PI()/180)*W53)+(Data!$O$47/2)&lt;Data!$O$47/2,Data!$O$47/2,IF((TAN(Data!$AA$5*PI()/180)*W53)+(Data!$O$47/2)&gt;250,250,(TAN(Data!$AA$5*PI()/180)*W53)+(Data!$O$47/2)))</f>
        <v>#VALUE!</v>
      </c>
      <c r="AA53" s="3" t="str">
        <f t="shared" ca="1" si="42"/>
        <v>No</v>
      </c>
      <c r="AB53" s="20" t="e">
        <f ca="1">IF(((W53-(Data!$O$47/2))/8)&gt;0,((W53-(Data!$O$47/2))/8),0)</f>
        <v>#VALUE!</v>
      </c>
      <c r="AC53" s="20" t="e">
        <f t="shared" ca="1" si="43"/>
        <v>#VALUE!</v>
      </c>
      <c r="AD53" s="3" t="str">
        <f>IF(Data!$D$29="","",IF(AND($C53="",$D53="",$E53="",$G53="",$H53="",$I53=""),"",IF(AND(Y53="Inside",AA53="Yes",AC53&gt;0),"Yes - "&amp;ROUND(AC53,2)&amp;" ft","No")))</f>
        <v/>
      </c>
      <c r="AE53" s="3" t="str">
        <f ca="1">IF(Data!$O$47/2+2000&lt;W53,"Beyond",IF(Data!$O$47/2&gt;W53,"Behind","Inside"))</f>
        <v>Beyond</v>
      </c>
      <c r="AF53" s="20" t="e">
        <f ca="1">(TAN(Data!$AA$12*PI()/180)*W53)+(Data!$O$47/2)</f>
        <v>#VALUE!</v>
      </c>
      <c r="AG53" s="3" t="e">
        <f t="shared" ca="1" si="44"/>
        <v>#VALUE!</v>
      </c>
      <c r="AH53" s="20" t="e">
        <f t="shared" ca="1" si="45"/>
        <v>#VALUE!</v>
      </c>
      <c r="AI53" s="20" t="e">
        <f t="shared" ca="1" si="46"/>
        <v>#VALUE!</v>
      </c>
      <c r="AJ53" s="3" t="str">
        <f>IF(Data!$D$29="","",IF(AND($C53="",$D53="",$E53="",$G53="",$H53="",$I53=""),"",IF(AND(AE53="Inside",AG53="Yes",AI53&gt;0),"Yes - "&amp;ROUND(AI53,2)&amp;" ft","No")))</f>
        <v/>
      </c>
      <c r="AK53" s="3" t="str">
        <f ca="1">IF(0-Data!$O$47/2&gt;W53,"Behind",IF(Data!$O$47/2+4000&lt;W53,"Beyond","Inside"))</f>
        <v>Beyond</v>
      </c>
      <c r="AL53" s="3" t="e">
        <f t="shared" ca="1" si="47"/>
        <v>#VALUE!</v>
      </c>
      <c r="AM53" s="20" t="e">
        <f t="shared" ca="1" si="48"/>
        <v>#VALUE!</v>
      </c>
      <c r="AN53" s="20" t="e">
        <f t="shared" ca="1" si="49"/>
        <v>#VALUE!</v>
      </c>
      <c r="AO53" s="3" t="str">
        <f>IF(Data!$D$29="","",IF(AND($C53="",$D53="",$E53="",$G53="",$H53="",$I53=""),"",IF(AND(AK53="Inside",AL53="Yes",AN53&gt;0),"Yes - "&amp;ROUND(AN53,2)&amp;" ft","No")))</f>
        <v/>
      </c>
      <c r="AP53" s="72" t="str">
        <f t="shared" si="50"/>
        <v/>
      </c>
      <c r="AQ53" s="72" t="str">
        <f t="shared" si="51"/>
        <v/>
      </c>
      <c r="AR53" s="72" t="str">
        <f ca="1">IF(Data!$O$47/2+4000&lt;AP53,"Beyond",IF(Data!$O$47/2&gt;AP53,"Behind","Inside"))</f>
        <v>Beyond</v>
      </c>
      <c r="AS53" s="72" t="e">
        <f ca="1">IF((TAN(Data!$AA$5*PI()/180)*AP53)+(Data!$O$47/2)&lt;Data!$O$47/2,Data!$O$47/2,IF((TAN(Data!$AA$5*PI()/180)*AP53)+(Data!$O$47/2)&gt;250,250,(TAN(Data!$AA$5*PI()/180)*AP53)+(Data!$O$47/2)))</f>
        <v>#VALUE!</v>
      </c>
      <c r="AT53" s="72" t="str">
        <f t="shared" ca="1" si="52"/>
        <v>No</v>
      </c>
      <c r="AU53" s="72" t="e">
        <f ca="1">IF(((AP53-(Data!$O$47/2))/8)&gt;0,((AP53-(Data!$O$47/2))/8),0)</f>
        <v>#VALUE!</v>
      </c>
      <c r="AV53" s="72" t="e">
        <f t="shared" ca="1" si="53"/>
        <v>#VALUE!</v>
      </c>
      <c r="AW53" s="72" t="str">
        <f>IF(Data!$D$30="","",IF(AND($C53="",$D53="",$E53="",$G53="",$H53="",$I53=""),"",IF(AND(AR53="Inside",AT53="Yes",AV53&gt;0),"Yes - "&amp;ROUND(AV53,2)&amp;" ft","No")))</f>
        <v/>
      </c>
      <c r="AX53" s="72" t="str">
        <f ca="1">IF(Data!$O$47/2+2000&lt;AP53,"Beyond",IF(Data!$O$47/2&gt;AP53,"Behind","Inside"))</f>
        <v>Beyond</v>
      </c>
      <c r="AY53" s="72" t="e">
        <f ca="1">(TAN(Data!$AA$12*PI()/180)*AP53)+(Data!$O$47/2)</f>
        <v>#VALUE!</v>
      </c>
      <c r="AZ53" s="72" t="e">
        <f t="shared" ca="1" si="54"/>
        <v>#VALUE!</v>
      </c>
      <c r="BA53" s="72" t="e">
        <f t="shared" ca="1" si="55"/>
        <v>#VALUE!</v>
      </c>
      <c r="BB53" s="72" t="e">
        <f t="shared" ca="1" si="56"/>
        <v>#VALUE!</v>
      </c>
      <c r="BC53" s="72" t="str">
        <f>IF(Data!$D$30="","",IF(AND($C53="",$D53="",$E53="",$G53="",$H53="",$I53=""),"",IF(AND(AX53="Inside",AZ53="Yes",BB53&gt;0),"Yes - "&amp;ROUND(BB53,2)&amp;" ft","No")))</f>
        <v/>
      </c>
      <c r="BD53" s="72" t="str">
        <f ca="1">IF(0-Data!$O$47/2&gt;AP53,"Behind",IF(Data!$O$47/2+4000&lt;AP53,"Beyond","Inside"))</f>
        <v>Beyond</v>
      </c>
      <c r="BE53" s="72" t="e">
        <f t="shared" ca="1" si="57"/>
        <v>#VALUE!</v>
      </c>
      <c r="BF53" s="72" t="e">
        <f t="shared" ca="1" si="58"/>
        <v>#VALUE!</v>
      </c>
      <c r="BG53" s="72" t="e">
        <f t="shared" ca="1" si="59"/>
        <v>#VALUE!</v>
      </c>
      <c r="BH53" s="72" t="str">
        <f>IF(Data!$D$30="","",IF(AND($C53="",$D53="",$E53="",$G53="",$H53="",$I53=""),"",IF(AND(BD53="Inside",BE53="Yes",BG53&gt;0),"Yes - "&amp;ROUND(BG53,2)&amp;" ft","No")))</f>
        <v/>
      </c>
      <c r="BI53" s="3" t="str">
        <f t="shared" si="60"/>
        <v/>
      </c>
      <c r="BJ53" s="3" t="str">
        <f t="shared" si="61"/>
        <v/>
      </c>
      <c r="BK53" s="3" t="str">
        <f ca="1">IF(Data!$O$47/2+4000&lt;BI53,"Beyond",IF(Data!$O$47/2&gt;BI53,"Behind","Inside"))</f>
        <v>Beyond</v>
      </c>
      <c r="BL53" s="20" t="e">
        <f ca="1">IF((TAN(Data!$AA$5*PI()/180)*BI53)+(Data!$O$47/2)&lt;Data!$O$47/2,Data!$O$47/2,IF((TAN(Data!$AA$5*PI()/180)*BI53)+(Data!$O$47/2)&gt;250,250,(TAN(Data!$AA$5*PI()/180)*BI53)+(Data!$O$47/2)))</f>
        <v>#VALUE!</v>
      </c>
      <c r="BM53" s="3" t="str">
        <f t="shared" ca="1" si="62"/>
        <v>No</v>
      </c>
      <c r="BN53" s="20" t="e">
        <f ca="1">IF(((BI53-(Data!$O$47/2))/8)&gt;0,((BI53-(Data!$O$47/2))/8),0)</f>
        <v>#VALUE!</v>
      </c>
      <c r="BO53" s="20" t="e">
        <f t="shared" ca="1" si="63"/>
        <v>#VALUE!</v>
      </c>
      <c r="BP53" s="3" t="str">
        <f>IF(Data!$D$31="","",IF(AND($C53="",$D53="",$E53="",$G53="",$H53="",$I53=""),"",IF(AND(BK53="Inside",BM53="Yes",BO53&gt;0),"Yes - "&amp;ROUND(BO53,2)&amp;" ft","No")))</f>
        <v/>
      </c>
      <c r="BQ53" s="3" t="str">
        <f ca="1">IF(Data!$O$47/2+2000&lt;BI53,"Beyond",IF(Data!$O$47/2&gt;BI53,"Behind","Inside"))</f>
        <v>Beyond</v>
      </c>
      <c r="BR53" s="20" t="e">
        <f ca="1">(TAN(Data!$AA$12*PI()/180)*BI53)+(Data!$O$47/2)</f>
        <v>#VALUE!</v>
      </c>
      <c r="BS53" s="3" t="e">
        <f t="shared" ca="1" si="64"/>
        <v>#VALUE!</v>
      </c>
      <c r="BT53" s="20" t="e">
        <f t="shared" ca="1" si="65"/>
        <v>#VALUE!</v>
      </c>
      <c r="BU53" s="20" t="e">
        <f t="shared" ca="1" si="66"/>
        <v>#VALUE!</v>
      </c>
      <c r="BV53" s="3" t="str">
        <f>IF(Data!$D$31="","",IF(AND($C53="",$D53="",$E53="",$G53="",$H53="",$I53=""),"",IF(AND(BQ53="Inside",BS53="Yes",BU53&gt;0),"Yes - "&amp;ROUND(BU53,2)&amp;" ft","No")))</f>
        <v/>
      </c>
      <c r="BW53" s="3" t="str">
        <f ca="1">IF(0-Data!$O$47/2&gt;BI53,"Behind",IF(Data!$O$47/2+4000&lt;BI53,"Beyond","Inside"))</f>
        <v>Beyond</v>
      </c>
      <c r="BX53" s="3" t="e">
        <f t="shared" ca="1" si="67"/>
        <v>#VALUE!</v>
      </c>
      <c r="BY53" s="20" t="e">
        <f t="shared" ca="1" si="68"/>
        <v>#VALUE!</v>
      </c>
      <c r="BZ53" s="20" t="e">
        <f t="shared" ca="1" si="69"/>
        <v>#VALUE!</v>
      </c>
      <c r="CA53" s="3" t="str">
        <f>IF(Data!$D$31="","",IF(AND($C53="",$D53="",$E53="",$G53="",$H53="",$I53=""),"",IF(AND(BW53="Inside",BX53="Yes",BZ53&gt;0),"Yes - "&amp;ROUND(BZ53,2)&amp;" ft","No")))</f>
        <v/>
      </c>
      <c r="CB53" s="9"/>
      <c r="CC53" t="str">
        <f t="shared" si="70"/>
        <v>No</v>
      </c>
      <c r="CD53" s="62" t="s">
        <v>559</v>
      </c>
      <c r="CE53" s="63">
        <f t="shared" si="7"/>
        <v>0</v>
      </c>
      <c r="CF53" s="63">
        <f t="shared" si="5"/>
        <v>260330.3</v>
      </c>
      <c r="CG53" s="63">
        <f t="shared" si="6"/>
        <v>800803.59</v>
      </c>
      <c r="CH53" s="63">
        <f t="shared" si="24"/>
        <v>354</v>
      </c>
      <c r="CI53" s="63">
        <f t="shared" si="9"/>
        <v>0</v>
      </c>
      <c r="CJ53" s="63">
        <f t="shared" si="10"/>
        <v>0.45480516874807703</v>
      </c>
      <c r="CK53" s="63">
        <f t="shared" si="11"/>
        <v>1.39860791215351</v>
      </c>
      <c r="CL53" s="63">
        <f t="shared" si="25"/>
        <v>354</v>
      </c>
      <c r="CM53" s="63">
        <f t="shared" si="26"/>
        <v>6.1784655520599303</v>
      </c>
      <c r="CN53" s="63">
        <f t="shared" si="12"/>
        <v>0</v>
      </c>
      <c r="CO53" s="63">
        <f t="shared" si="13"/>
        <v>1.00543891812539</v>
      </c>
      <c r="CP53" s="63">
        <f t="shared" si="14"/>
        <v>0</v>
      </c>
      <c r="CQ53" s="63">
        <f t="shared" si="15"/>
        <v>0.45480516874807703</v>
      </c>
      <c r="CR53" s="63">
        <f t="shared" si="16"/>
        <v>0</v>
      </c>
      <c r="CS53" s="63">
        <f t="shared" si="17"/>
        <v>0.45480516874807703</v>
      </c>
      <c r="CT53" s="63">
        <f t="shared" si="18"/>
        <v>1.39860791215351</v>
      </c>
      <c r="CU53" s="63">
        <f t="shared" si="19"/>
        <v>9.3200582056497208</v>
      </c>
      <c r="CV53" s="63">
        <f t="shared" si="20"/>
        <v>26.058416670000021</v>
      </c>
      <c r="CW53" s="63">
        <f t="shared" si="21"/>
        <v>80.134330559999924</v>
      </c>
      <c r="CX53" s="63">
        <f t="shared" si="22"/>
        <v>260330.30001199999</v>
      </c>
      <c r="CY53" s="63">
        <f t="shared" si="23"/>
        <v>800803.59001599997</v>
      </c>
    </row>
    <row r="54" spans="1:148" x14ac:dyDescent="0.25">
      <c r="A54" s="67">
        <v>44</v>
      </c>
      <c r="B54" s="84"/>
      <c r="C54" s="84"/>
      <c r="D54" s="84"/>
      <c r="E54" s="84"/>
      <c r="F54" s="109" t="str">
        <f t="shared" si="27"/>
        <v/>
      </c>
      <c r="G54" s="81"/>
      <c r="H54" s="81"/>
      <c r="I54" s="85"/>
      <c r="J54" s="77" t="str">
        <f t="shared" si="28"/>
        <v/>
      </c>
      <c r="K54" s="77" t="str">
        <f t="shared" si="29"/>
        <v/>
      </c>
      <c r="L54" s="77" t="str">
        <f t="shared" si="30"/>
        <v/>
      </c>
      <c r="M54" s="79" t="str">
        <f t="shared" si="31"/>
        <v/>
      </c>
      <c r="N54" s="79" t="str">
        <f t="shared" si="32"/>
        <v/>
      </c>
      <c r="O54" s="79" t="str">
        <f t="shared" si="33"/>
        <v/>
      </c>
      <c r="P54" s="77" t="str">
        <f t="shared" si="34"/>
        <v/>
      </c>
      <c r="Q54" s="77" t="str">
        <f t="shared" si="35"/>
        <v/>
      </c>
      <c r="R54" s="77" t="str">
        <f t="shared" si="36"/>
        <v/>
      </c>
      <c r="S54" s="8"/>
      <c r="T54" s="74">
        <f t="shared" si="37"/>
        <v>-80.134330559999924</v>
      </c>
      <c r="U54" s="66">
        <f t="shared" si="38"/>
        <v>26.058416670000021</v>
      </c>
      <c r="V54" s="66">
        <f t="shared" si="39"/>
        <v>1.524</v>
      </c>
      <c r="W54" s="3" t="str">
        <f t="shared" si="40"/>
        <v/>
      </c>
      <c r="X54" s="3" t="str">
        <f t="shared" si="41"/>
        <v/>
      </c>
      <c r="Y54" s="3" t="str">
        <f ca="1">IF(Data!$O$47/2+4000&lt;W54,"Beyond",IF(Data!$O$47/2&gt;W54,"Behind","Inside"))</f>
        <v>Beyond</v>
      </c>
      <c r="Z54" s="20" t="e">
        <f ca="1">IF((TAN(Data!$AA$5*PI()/180)*W54)+(Data!$O$47/2)&lt;Data!$O$47/2,Data!$O$47/2,IF((TAN(Data!$AA$5*PI()/180)*W54)+(Data!$O$47/2)&gt;250,250,(TAN(Data!$AA$5*PI()/180)*W54)+(Data!$O$47/2)))</f>
        <v>#VALUE!</v>
      </c>
      <c r="AA54" s="3" t="str">
        <f t="shared" ca="1" si="42"/>
        <v>No</v>
      </c>
      <c r="AB54" s="20" t="e">
        <f ca="1">IF(((W54-(Data!$O$47/2))/8)&gt;0,((W54-(Data!$O$47/2))/8),0)</f>
        <v>#VALUE!</v>
      </c>
      <c r="AC54" s="20" t="e">
        <f t="shared" ca="1" si="43"/>
        <v>#VALUE!</v>
      </c>
      <c r="AD54" s="3" t="str">
        <f>IF(Data!$D$29="","",IF(AND($C54="",$D54="",$E54="",$G54="",$H54="",$I54=""),"",IF(AND(Y54="Inside",AA54="Yes",AC54&gt;0),"Yes - "&amp;ROUND(AC54,2)&amp;" ft","No")))</f>
        <v/>
      </c>
      <c r="AE54" s="3" t="str">
        <f ca="1">IF(Data!$O$47/2+2000&lt;W54,"Beyond",IF(Data!$O$47/2&gt;W54,"Behind","Inside"))</f>
        <v>Beyond</v>
      </c>
      <c r="AF54" s="20" t="e">
        <f ca="1">(TAN(Data!$AA$12*PI()/180)*W54)+(Data!$O$47/2)</f>
        <v>#VALUE!</v>
      </c>
      <c r="AG54" s="3" t="e">
        <f t="shared" ca="1" si="44"/>
        <v>#VALUE!</v>
      </c>
      <c r="AH54" s="20" t="e">
        <f t="shared" ca="1" si="45"/>
        <v>#VALUE!</v>
      </c>
      <c r="AI54" s="20" t="e">
        <f t="shared" ca="1" si="46"/>
        <v>#VALUE!</v>
      </c>
      <c r="AJ54" s="3" t="str">
        <f>IF(Data!$D$29="","",IF(AND($C54="",$D54="",$E54="",$G54="",$H54="",$I54=""),"",IF(AND(AE54="Inside",AG54="Yes",AI54&gt;0),"Yes - "&amp;ROUND(AI54,2)&amp;" ft","No")))</f>
        <v/>
      </c>
      <c r="AK54" s="3" t="str">
        <f ca="1">IF(0-Data!$O$47/2&gt;W54,"Behind",IF(Data!$O$47/2+4000&lt;W54,"Beyond","Inside"))</f>
        <v>Beyond</v>
      </c>
      <c r="AL54" s="3" t="e">
        <f t="shared" ca="1" si="47"/>
        <v>#VALUE!</v>
      </c>
      <c r="AM54" s="20" t="e">
        <f t="shared" ca="1" si="48"/>
        <v>#VALUE!</v>
      </c>
      <c r="AN54" s="20" t="e">
        <f t="shared" ca="1" si="49"/>
        <v>#VALUE!</v>
      </c>
      <c r="AO54" s="3" t="str">
        <f>IF(Data!$D$29="","",IF(AND($C54="",$D54="",$E54="",$G54="",$H54="",$I54=""),"",IF(AND(AK54="Inside",AL54="Yes",AN54&gt;0),"Yes - "&amp;ROUND(AN54,2)&amp;" ft","No")))</f>
        <v/>
      </c>
      <c r="AP54" s="72" t="str">
        <f t="shared" si="50"/>
        <v/>
      </c>
      <c r="AQ54" s="72" t="str">
        <f t="shared" si="51"/>
        <v/>
      </c>
      <c r="AR54" s="72" t="str">
        <f ca="1">IF(Data!$O$47/2+4000&lt;AP54,"Beyond",IF(Data!$O$47/2&gt;AP54,"Behind","Inside"))</f>
        <v>Beyond</v>
      </c>
      <c r="AS54" s="72" t="e">
        <f ca="1">IF((TAN(Data!$AA$5*PI()/180)*AP54)+(Data!$O$47/2)&lt;Data!$O$47/2,Data!$O$47/2,IF((TAN(Data!$AA$5*PI()/180)*AP54)+(Data!$O$47/2)&gt;250,250,(TAN(Data!$AA$5*PI()/180)*AP54)+(Data!$O$47/2)))</f>
        <v>#VALUE!</v>
      </c>
      <c r="AT54" s="72" t="str">
        <f t="shared" ca="1" si="52"/>
        <v>No</v>
      </c>
      <c r="AU54" s="72" t="e">
        <f ca="1">IF(((AP54-(Data!$O$47/2))/8)&gt;0,((AP54-(Data!$O$47/2))/8),0)</f>
        <v>#VALUE!</v>
      </c>
      <c r="AV54" s="72" t="e">
        <f t="shared" ca="1" si="53"/>
        <v>#VALUE!</v>
      </c>
      <c r="AW54" s="72" t="str">
        <f>IF(Data!$D$30="","",IF(AND($C54="",$D54="",$E54="",$G54="",$H54="",$I54=""),"",IF(AND(AR54="Inside",AT54="Yes",AV54&gt;0),"Yes - "&amp;ROUND(AV54,2)&amp;" ft","No")))</f>
        <v/>
      </c>
      <c r="AX54" s="72" t="str">
        <f ca="1">IF(Data!$O$47/2+2000&lt;AP54,"Beyond",IF(Data!$O$47/2&gt;AP54,"Behind","Inside"))</f>
        <v>Beyond</v>
      </c>
      <c r="AY54" s="72" t="e">
        <f ca="1">(TAN(Data!$AA$12*PI()/180)*AP54)+(Data!$O$47/2)</f>
        <v>#VALUE!</v>
      </c>
      <c r="AZ54" s="72" t="e">
        <f t="shared" ca="1" si="54"/>
        <v>#VALUE!</v>
      </c>
      <c r="BA54" s="72" t="e">
        <f t="shared" ca="1" si="55"/>
        <v>#VALUE!</v>
      </c>
      <c r="BB54" s="72" t="e">
        <f t="shared" ca="1" si="56"/>
        <v>#VALUE!</v>
      </c>
      <c r="BC54" s="72" t="str">
        <f>IF(Data!$D$30="","",IF(AND($C54="",$D54="",$E54="",$G54="",$H54="",$I54=""),"",IF(AND(AX54="Inside",AZ54="Yes",BB54&gt;0),"Yes - "&amp;ROUND(BB54,2)&amp;" ft","No")))</f>
        <v/>
      </c>
      <c r="BD54" s="72" t="str">
        <f ca="1">IF(0-Data!$O$47/2&gt;AP54,"Behind",IF(Data!$O$47/2+4000&lt;AP54,"Beyond","Inside"))</f>
        <v>Beyond</v>
      </c>
      <c r="BE54" s="72" t="e">
        <f t="shared" ca="1" si="57"/>
        <v>#VALUE!</v>
      </c>
      <c r="BF54" s="72" t="e">
        <f t="shared" ca="1" si="58"/>
        <v>#VALUE!</v>
      </c>
      <c r="BG54" s="72" t="e">
        <f t="shared" ca="1" si="59"/>
        <v>#VALUE!</v>
      </c>
      <c r="BH54" s="72" t="str">
        <f>IF(Data!$D$30="","",IF(AND($C54="",$D54="",$E54="",$G54="",$H54="",$I54=""),"",IF(AND(BD54="Inside",BE54="Yes",BG54&gt;0),"Yes - "&amp;ROUND(BG54,2)&amp;" ft","No")))</f>
        <v/>
      </c>
      <c r="BI54" s="3" t="str">
        <f t="shared" si="60"/>
        <v/>
      </c>
      <c r="BJ54" s="3" t="str">
        <f t="shared" si="61"/>
        <v/>
      </c>
      <c r="BK54" s="3" t="str">
        <f ca="1">IF(Data!$O$47/2+4000&lt;BI54,"Beyond",IF(Data!$O$47/2&gt;BI54,"Behind","Inside"))</f>
        <v>Beyond</v>
      </c>
      <c r="BL54" s="20" t="e">
        <f ca="1">IF((TAN(Data!$AA$5*PI()/180)*BI54)+(Data!$O$47/2)&lt;Data!$O$47/2,Data!$O$47/2,IF((TAN(Data!$AA$5*PI()/180)*BI54)+(Data!$O$47/2)&gt;250,250,(TAN(Data!$AA$5*PI()/180)*BI54)+(Data!$O$47/2)))</f>
        <v>#VALUE!</v>
      </c>
      <c r="BM54" s="3" t="str">
        <f t="shared" ca="1" si="62"/>
        <v>No</v>
      </c>
      <c r="BN54" s="20" t="e">
        <f ca="1">IF(((BI54-(Data!$O$47/2))/8)&gt;0,((BI54-(Data!$O$47/2))/8),0)</f>
        <v>#VALUE!</v>
      </c>
      <c r="BO54" s="20" t="e">
        <f t="shared" ca="1" si="63"/>
        <v>#VALUE!</v>
      </c>
      <c r="BP54" s="3" t="str">
        <f>IF(Data!$D$31="","",IF(AND($C54="",$D54="",$E54="",$G54="",$H54="",$I54=""),"",IF(AND(BK54="Inside",BM54="Yes",BO54&gt;0),"Yes - "&amp;ROUND(BO54,2)&amp;" ft","No")))</f>
        <v/>
      </c>
      <c r="BQ54" s="3" t="str">
        <f ca="1">IF(Data!$O$47/2+2000&lt;BI54,"Beyond",IF(Data!$O$47/2&gt;BI54,"Behind","Inside"))</f>
        <v>Beyond</v>
      </c>
      <c r="BR54" s="20" t="e">
        <f ca="1">(TAN(Data!$AA$12*PI()/180)*BI54)+(Data!$O$47/2)</f>
        <v>#VALUE!</v>
      </c>
      <c r="BS54" s="3" t="e">
        <f t="shared" ca="1" si="64"/>
        <v>#VALUE!</v>
      </c>
      <c r="BT54" s="20" t="e">
        <f t="shared" ca="1" si="65"/>
        <v>#VALUE!</v>
      </c>
      <c r="BU54" s="20" t="e">
        <f t="shared" ca="1" si="66"/>
        <v>#VALUE!</v>
      </c>
      <c r="BV54" s="3" t="str">
        <f>IF(Data!$D$31="","",IF(AND($C54="",$D54="",$E54="",$G54="",$H54="",$I54=""),"",IF(AND(BQ54="Inside",BS54="Yes",BU54&gt;0),"Yes - "&amp;ROUND(BU54,2)&amp;" ft","No")))</f>
        <v/>
      </c>
      <c r="BW54" s="3" t="str">
        <f ca="1">IF(0-Data!$O$47/2&gt;BI54,"Behind",IF(Data!$O$47/2+4000&lt;BI54,"Beyond","Inside"))</f>
        <v>Beyond</v>
      </c>
      <c r="BX54" s="3" t="e">
        <f t="shared" ca="1" si="67"/>
        <v>#VALUE!</v>
      </c>
      <c r="BY54" s="20" t="e">
        <f t="shared" ca="1" si="68"/>
        <v>#VALUE!</v>
      </c>
      <c r="BZ54" s="20" t="e">
        <f t="shared" ca="1" si="69"/>
        <v>#VALUE!</v>
      </c>
      <c r="CA54" s="3" t="str">
        <f>IF(Data!$D$31="","",IF(AND($C54="",$D54="",$E54="",$G54="",$H54="",$I54=""),"",IF(AND(BW54="Inside",BX54="Yes",BZ54&gt;0),"Yes - "&amp;ROUND(BZ54,2)&amp;" ft","No")))</f>
        <v/>
      </c>
      <c r="CB54" s="9"/>
      <c r="CC54" t="str">
        <f t="shared" si="70"/>
        <v>No</v>
      </c>
    </row>
    <row r="55" spans="1:148" x14ac:dyDescent="0.25">
      <c r="A55" s="67">
        <v>45</v>
      </c>
      <c r="B55" s="84"/>
      <c r="C55" s="84"/>
      <c r="D55" s="84"/>
      <c r="E55" s="84"/>
      <c r="F55" s="109" t="str">
        <f t="shared" si="27"/>
        <v/>
      </c>
      <c r="G55" s="81"/>
      <c r="H55" s="81"/>
      <c r="I55" s="85"/>
      <c r="J55" s="77" t="str">
        <f t="shared" si="28"/>
        <v/>
      </c>
      <c r="K55" s="77" t="str">
        <f t="shared" si="29"/>
        <v/>
      </c>
      <c r="L55" s="77" t="str">
        <f t="shared" si="30"/>
        <v/>
      </c>
      <c r="M55" s="79" t="str">
        <f t="shared" si="31"/>
        <v/>
      </c>
      <c r="N55" s="79" t="str">
        <f t="shared" si="32"/>
        <v/>
      </c>
      <c r="O55" s="79" t="str">
        <f t="shared" si="33"/>
        <v/>
      </c>
      <c r="P55" s="77" t="str">
        <f t="shared" si="34"/>
        <v/>
      </c>
      <c r="Q55" s="77" t="str">
        <f t="shared" si="35"/>
        <v/>
      </c>
      <c r="R55" s="77" t="str">
        <f t="shared" si="36"/>
        <v/>
      </c>
      <c r="S55" s="8"/>
      <c r="T55" s="74">
        <f t="shared" si="37"/>
        <v>-80.134330559999924</v>
      </c>
      <c r="U55" s="66">
        <f t="shared" si="38"/>
        <v>26.058416670000021</v>
      </c>
      <c r="V55" s="66">
        <f t="shared" si="39"/>
        <v>1.524</v>
      </c>
      <c r="W55" s="3" t="str">
        <f t="shared" si="40"/>
        <v/>
      </c>
      <c r="X55" s="3" t="str">
        <f t="shared" si="41"/>
        <v/>
      </c>
      <c r="Y55" s="3" t="str">
        <f ca="1">IF(Data!$O$47/2+4000&lt;W55,"Beyond",IF(Data!$O$47/2&gt;W55,"Behind","Inside"))</f>
        <v>Beyond</v>
      </c>
      <c r="Z55" s="20" t="e">
        <f ca="1">IF((TAN(Data!$AA$5*PI()/180)*W55)+(Data!$O$47/2)&lt;Data!$O$47/2,Data!$O$47/2,IF((TAN(Data!$AA$5*PI()/180)*W55)+(Data!$O$47/2)&gt;250,250,(TAN(Data!$AA$5*PI()/180)*W55)+(Data!$O$47/2)))</f>
        <v>#VALUE!</v>
      </c>
      <c r="AA55" s="3" t="str">
        <f t="shared" ca="1" si="42"/>
        <v>No</v>
      </c>
      <c r="AB55" s="20" t="e">
        <f ca="1">IF(((W55-(Data!$O$47/2))/8)&gt;0,((W55-(Data!$O$47/2))/8),0)</f>
        <v>#VALUE!</v>
      </c>
      <c r="AC55" s="20" t="e">
        <f t="shared" ca="1" si="43"/>
        <v>#VALUE!</v>
      </c>
      <c r="AD55" s="3" t="str">
        <f>IF(Data!$D$29="","",IF(AND($C55="",$D55="",$E55="",$G55="",$H55="",$I55=""),"",IF(AND(Y55="Inside",AA55="Yes",AC55&gt;0),"Yes - "&amp;ROUND(AC55,2)&amp;" ft","No")))</f>
        <v/>
      </c>
      <c r="AE55" s="3" t="str">
        <f ca="1">IF(Data!$O$47/2+2000&lt;W55,"Beyond",IF(Data!$O$47/2&gt;W55,"Behind","Inside"))</f>
        <v>Beyond</v>
      </c>
      <c r="AF55" s="20" t="e">
        <f ca="1">(TAN(Data!$AA$12*PI()/180)*W55)+(Data!$O$47/2)</f>
        <v>#VALUE!</v>
      </c>
      <c r="AG55" s="3" t="e">
        <f t="shared" ca="1" si="44"/>
        <v>#VALUE!</v>
      </c>
      <c r="AH55" s="20" t="e">
        <f t="shared" ca="1" si="45"/>
        <v>#VALUE!</v>
      </c>
      <c r="AI55" s="20" t="e">
        <f t="shared" ca="1" si="46"/>
        <v>#VALUE!</v>
      </c>
      <c r="AJ55" s="3" t="str">
        <f>IF(Data!$D$29="","",IF(AND($C55="",$D55="",$E55="",$G55="",$H55="",$I55=""),"",IF(AND(AE55="Inside",AG55="Yes",AI55&gt;0),"Yes - "&amp;ROUND(AI55,2)&amp;" ft","No")))</f>
        <v/>
      </c>
      <c r="AK55" s="3" t="str">
        <f ca="1">IF(0-Data!$O$47/2&gt;W55,"Behind",IF(Data!$O$47/2+4000&lt;W55,"Beyond","Inside"))</f>
        <v>Beyond</v>
      </c>
      <c r="AL55" s="3" t="e">
        <f t="shared" ca="1" si="47"/>
        <v>#VALUE!</v>
      </c>
      <c r="AM55" s="20" t="e">
        <f t="shared" ca="1" si="48"/>
        <v>#VALUE!</v>
      </c>
      <c r="AN55" s="20" t="e">
        <f t="shared" ca="1" si="49"/>
        <v>#VALUE!</v>
      </c>
      <c r="AO55" s="3" t="str">
        <f>IF(Data!$D$29="","",IF(AND($C55="",$D55="",$E55="",$G55="",$H55="",$I55=""),"",IF(AND(AK55="Inside",AL55="Yes",AN55&gt;0),"Yes - "&amp;ROUND(AN55,2)&amp;" ft","No")))</f>
        <v/>
      </c>
      <c r="AP55" s="72" t="str">
        <f t="shared" si="50"/>
        <v/>
      </c>
      <c r="AQ55" s="72" t="str">
        <f t="shared" si="51"/>
        <v/>
      </c>
      <c r="AR55" s="72" t="str">
        <f ca="1">IF(Data!$O$47/2+4000&lt;AP55,"Beyond",IF(Data!$O$47/2&gt;AP55,"Behind","Inside"))</f>
        <v>Beyond</v>
      </c>
      <c r="AS55" s="72" t="e">
        <f ca="1">IF((TAN(Data!$AA$5*PI()/180)*AP55)+(Data!$O$47/2)&lt;Data!$O$47/2,Data!$O$47/2,IF((TAN(Data!$AA$5*PI()/180)*AP55)+(Data!$O$47/2)&gt;250,250,(TAN(Data!$AA$5*PI()/180)*AP55)+(Data!$O$47/2)))</f>
        <v>#VALUE!</v>
      </c>
      <c r="AT55" s="72" t="str">
        <f t="shared" ca="1" si="52"/>
        <v>No</v>
      </c>
      <c r="AU55" s="72" t="e">
        <f ca="1">IF(((AP55-(Data!$O$47/2))/8)&gt;0,((AP55-(Data!$O$47/2))/8),0)</f>
        <v>#VALUE!</v>
      </c>
      <c r="AV55" s="72" t="e">
        <f t="shared" ca="1" si="53"/>
        <v>#VALUE!</v>
      </c>
      <c r="AW55" s="72" t="str">
        <f>IF(Data!$D$30="","",IF(AND($C55="",$D55="",$E55="",$G55="",$H55="",$I55=""),"",IF(AND(AR55="Inside",AT55="Yes",AV55&gt;0),"Yes - "&amp;ROUND(AV55,2)&amp;" ft","No")))</f>
        <v/>
      </c>
      <c r="AX55" s="72" t="str">
        <f ca="1">IF(Data!$O$47/2+2000&lt;AP55,"Beyond",IF(Data!$O$47/2&gt;AP55,"Behind","Inside"))</f>
        <v>Beyond</v>
      </c>
      <c r="AY55" s="72" t="e">
        <f ca="1">(TAN(Data!$AA$12*PI()/180)*AP55)+(Data!$O$47/2)</f>
        <v>#VALUE!</v>
      </c>
      <c r="AZ55" s="72" t="e">
        <f t="shared" ca="1" si="54"/>
        <v>#VALUE!</v>
      </c>
      <c r="BA55" s="72" t="e">
        <f t="shared" ca="1" si="55"/>
        <v>#VALUE!</v>
      </c>
      <c r="BB55" s="72" t="e">
        <f t="shared" ca="1" si="56"/>
        <v>#VALUE!</v>
      </c>
      <c r="BC55" s="72" t="str">
        <f>IF(Data!$D$30="","",IF(AND($C55="",$D55="",$E55="",$G55="",$H55="",$I55=""),"",IF(AND(AX55="Inside",AZ55="Yes",BB55&gt;0),"Yes - "&amp;ROUND(BB55,2)&amp;" ft","No")))</f>
        <v/>
      </c>
      <c r="BD55" s="72" t="str">
        <f ca="1">IF(0-Data!$O$47/2&gt;AP55,"Behind",IF(Data!$O$47/2+4000&lt;AP55,"Beyond","Inside"))</f>
        <v>Beyond</v>
      </c>
      <c r="BE55" s="72" t="e">
        <f t="shared" ca="1" si="57"/>
        <v>#VALUE!</v>
      </c>
      <c r="BF55" s="72" t="e">
        <f t="shared" ca="1" si="58"/>
        <v>#VALUE!</v>
      </c>
      <c r="BG55" s="72" t="e">
        <f t="shared" ca="1" si="59"/>
        <v>#VALUE!</v>
      </c>
      <c r="BH55" s="72" t="str">
        <f>IF(Data!$D$30="","",IF(AND($C55="",$D55="",$E55="",$G55="",$H55="",$I55=""),"",IF(AND(BD55="Inside",BE55="Yes",BG55&gt;0),"Yes - "&amp;ROUND(BG55,2)&amp;" ft","No")))</f>
        <v/>
      </c>
      <c r="BI55" s="3" t="str">
        <f t="shared" si="60"/>
        <v/>
      </c>
      <c r="BJ55" s="3" t="str">
        <f t="shared" si="61"/>
        <v/>
      </c>
      <c r="BK55" s="3" t="str">
        <f ca="1">IF(Data!$O$47/2+4000&lt;BI55,"Beyond",IF(Data!$O$47/2&gt;BI55,"Behind","Inside"))</f>
        <v>Beyond</v>
      </c>
      <c r="BL55" s="20" t="e">
        <f ca="1">IF((TAN(Data!$AA$5*PI()/180)*BI55)+(Data!$O$47/2)&lt;Data!$O$47/2,Data!$O$47/2,IF((TAN(Data!$AA$5*PI()/180)*BI55)+(Data!$O$47/2)&gt;250,250,(TAN(Data!$AA$5*PI()/180)*BI55)+(Data!$O$47/2)))</f>
        <v>#VALUE!</v>
      </c>
      <c r="BM55" s="3" t="str">
        <f t="shared" ca="1" si="62"/>
        <v>No</v>
      </c>
      <c r="BN55" s="20" t="e">
        <f ca="1">IF(((BI55-(Data!$O$47/2))/8)&gt;0,((BI55-(Data!$O$47/2))/8),0)</f>
        <v>#VALUE!</v>
      </c>
      <c r="BO55" s="20" t="e">
        <f t="shared" ca="1" si="63"/>
        <v>#VALUE!</v>
      </c>
      <c r="BP55" s="3" t="str">
        <f>IF(Data!$D$31="","",IF(AND($C55="",$D55="",$E55="",$G55="",$H55="",$I55=""),"",IF(AND(BK55="Inside",BM55="Yes",BO55&gt;0),"Yes - "&amp;ROUND(BO55,2)&amp;" ft","No")))</f>
        <v/>
      </c>
      <c r="BQ55" s="3" t="str">
        <f ca="1">IF(Data!$O$47/2+2000&lt;BI55,"Beyond",IF(Data!$O$47/2&gt;BI55,"Behind","Inside"))</f>
        <v>Beyond</v>
      </c>
      <c r="BR55" s="20" t="e">
        <f ca="1">(TAN(Data!$AA$12*PI()/180)*BI55)+(Data!$O$47/2)</f>
        <v>#VALUE!</v>
      </c>
      <c r="BS55" s="3" t="e">
        <f t="shared" ca="1" si="64"/>
        <v>#VALUE!</v>
      </c>
      <c r="BT55" s="20" t="e">
        <f t="shared" ca="1" si="65"/>
        <v>#VALUE!</v>
      </c>
      <c r="BU55" s="20" t="e">
        <f t="shared" ca="1" si="66"/>
        <v>#VALUE!</v>
      </c>
      <c r="BV55" s="3" t="str">
        <f>IF(Data!$D$31="","",IF(AND($C55="",$D55="",$E55="",$G55="",$H55="",$I55=""),"",IF(AND(BQ55="Inside",BS55="Yes",BU55&gt;0),"Yes - "&amp;ROUND(BU55,2)&amp;" ft","No")))</f>
        <v/>
      </c>
      <c r="BW55" s="3" t="str">
        <f ca="1">IF(0-Data!$O$47/2&gt;BI55,"Behind",IF(Data!$O$47/2+4000&lt;BI55,"Beyond","Inside"))</f>
        <v>Beyond</v>
      </c>
      <c r="BX55" s="3" t="e">
        <f t="shared" ca="1" si="67"/>
        <v>#VALUE!</v>
      </c>
      <c r="BY55" s="20" t="e">
        <f t="shared" ca="1" si="68"/>
        <v>#VALUE!</v>
      </c>
      <c r="BZ55" s="20" t="e">
        <f t="shared" ca="1" si="69"/>
        <v>#VALUE!</v>
      </c>
      <c r="CA55" s="3" t="str">
        <f>IF(Data!$D$31="","",IF(AND($C55="",$D55="",$E55="",$G55="",$H55="",$I55=""),"",IF(AND(BW55="Inside",BX55="Yes",BZ55&gt;0),"Yes - "&amp;ROUND(BZ55,2)&amp;" ft","No")))</f>
        <v/>
      </c>
      <c r="CB55" s="9"/>
      <c r="CC55" t="str">
        <f t="shared" si="70"/>
        <v>No</v>
      </c>
      <c r="DF55" t="s">
        <v>615</v>
      </c>
      <c r="ER55" t="s">
        <v>614</v>
      </c>
    </row>
    <row r="56" spans="1:148" x14ac:dyDescent="0.25">
      <c r="A56" s="67">
        <v>46</v>
      </c>
      <c r="B56" s="84"/>
      <c r="C56" s="84"/>
      <c r="D56" s="84"/>
      <c r="E56" s="84"/>
      <c r="F56" s="109" t="str">
        <f t="shared" si="27"/>
        <v/>
      </c>
      <c r="G56" s="81"/>
      <c r="H56" s="81"/>
      <c r="I56" s="85"/>
      <c r="J56" s="77" t="str">
        <f t="shared" si="28"/>
        <v/>
      </c>
      <c r="K56" s="77" t="str">
        <f t="shared" si="29"/>
        <v/>
      </c>
      <c r="L56" s="77" t="str">
        <f t="shared" si="30"/>
        <v/>
      </c>
      <c r="M56" s="79" t="str">
        <f t="shared" si="31"/>
        <v/>
      </c>
      <c r="N56" s="79" t="str">
        <f t="shared" si="32"/>
        <v/>
      </c>
      <c r="O56" s="79" t="str">
        <f t="shared" si="33"/>
        <v/>
      </c>
      <c r="P56" s="77" t="str">
        <f t="shared" si="34"/>
        <v/>
      </c>
      <c r="Q56" s="77" t="str">
        <f t="shared" si="35"/>
        <v/>
      </c>
      <c r="R56" s="77" t="str">
        <f t="shared" si="36"/>
        <v/>
      </c>
      <c r="S56" s="8"/>
      <c r="T56" s="74">
        <f t="shared" si="37"/>
        <v>-80.134330559999924</v>
      </c>
      <c r="U56" s="66">
        <f t="shared" si="38"/>
        <v>26.058416670000021</v>
      </c>
      <c r="V56" s="66">
        <f t="shared" si="39"/>
        <v>1.524</v>
      </c>
      <c r="W56" s="3" t="str">
        <f t="shared" si="40"/>
        <v/>
      </c>
      <c r="X56" s="3" t="str">
        <f t="shared" si="41"/>
        <v/>
      </c>
      <c r="Y56" s="3" t="str">
        <f ca="1">IF(Data!$O$47/2+4000&lt;W56,"Beyond",IF(Data!$O$47/2&gt;W56,"Behind","Inside"))</f>
        <v>Beyond</v>
      </c>
      <c r="Z56" s="20" t="e">
        <f ca="1">IF((TAN(Data!$AA$5*PI()/180)*W56)+(Data!$O$47/2)&lt;Data!$O$47/2,Data!$O$47/2,IF((TAN(Data!$AA$5*PI()/180)*W56)+(Data!$O$47/2)&gt;250,250,(TAN(Data!$AA$5*PI()/180)*W56)+(Data!$O$47/2)))</f>
        <v>#VALUE!</v>
      </c>
      <c r="AA56" s="3" t="str">
        <f t="shared" ca="1" si="42"/>
        <v>No</v>
      </c>
      <c r="AB56" s="20" t="e">
        <f ca="1">IF(((W56-(Data!$O$47/2))/8)&gt;0,((W56-(Data!$O$47/2))/8),0)</f>
        <v>#VALUE!</v>
      </c>
      <c r="AC56" s="20" t="e">
        <f t="shared" ca="1" si="43"/>
        <v>#VALUE!</v>
      </c>
      <c r="AD56" s="3" t="str">
        <f>IF(Data!$D$29="","",IF(AND($C56="",$D56="",$E56="",$G56="",$H56="",$I56=""),"",IF(AND(Y56="Inside",AA56="Yes",AC56&gt;0),"Yes - "&amp;ROUND(AC56,2)&amp;" ft","No")))</f>
        <v/>
      </c>
      <c r="AE56" s="3" t="str">
        <f ca="1">IF(Data!$O$47/2+2000&lt;W56,"Beyond",IF(Data!$O$47/2&gt;W56,"Behind","Inside"))</f>
        <v>Beyond</v>
      </c>
      <c r="AF56" s="20" t="e">
        <f ca="1">(TAN(Data!$AA$12*PI()/180)*W56)+(Data!$O$47/2)</f>
        <v>#VALUE!</v>
      </c>
      <c r="AG56" s="3" t="e">
        <f t="shared" ca="1" si="44"/>
        <v>#VALUE!</v>
      </c>
      <c r="AH56" s="20" t="e">
        <f t="shared" ca="1" si="45"/>
        <v>#VALUE!</v>
      </c>
      <c r="AI56" s="20" t="e">
        <f t="shared" ca="1" si="46"/>
        <v>#VALUE!</v>
      </c>
      <c r="AJ56" s="3" t="str">
        <f>IF(Data!$D$29="","",IF(AND($C56="",$D56="",$E56="",$G56="",$H56="",$I56=""),"",IF(AND(AE56="Inside",AG56="Yes",AI56&gt;0),"Yes - "&amp;ROUND(AI56,2)&amp;" ft","No")))</f>
        <v/>
      </c>
      <c r="AK56" s="3" t="str">
        <f ca="1">IF(0-Data!$O$47/2&gt;W56,"Behind",IF(Data!$O$47/2+4000&lt;W56,"Beyond","Inside"))</f>
        <v>Beyond</v>
      </c>
      <c r="AL56" s="3" t="e">
        <f t="shared" ca="1" si="47"/>
        <v>#VALUE!</v>
      </c>
      <c r="AM56" s="20" t="e">
        <f t="shared" ca="1" si="48"/>
        <v>#VALUE!</v>
      </c>
      <c r="AN56" s="20" t="e">
        <f t="shared" ca="1" si="49"/>
        <v>#VALUE!</v>
      </c>
      <c r="AO56" s="3" t="str">
        <f>IF(Data!$D$29="","",IF(AND($C56="",$D56="",$E56="",$G56="",$H56="",$I56=""),"",IF(AND(AK56="Inside",AL56="Yes",AN56&gt;0),"Yes - "&amp;ROUND(AN56,2)&amp;" ft","No")))</f>
        <v/>
      </c>
      <c r="AP56" s="72" t="str">
        <f t="shared" si="50"/>
        <v/>
      </c>
      <c r="AQ56" s="72" t="str">
        <f t="shared" si="51"/>
        <v/>
      </c>
      <c r="AR56" s="72" t="str">
        <f ca="1">IF(Data!$O$47/2+4000&lt;AP56,"Beyond",IF(Data!$O$47/2&gt;AP56,"Behind","Inside"))</f>
        <v>Beyond</v>
      </c>
      <c r="AS56" s="72" t="e">
        <f ca="1">IF((TAN(Data!$AA$5*PI()/180)*AP56)+(Data!$O$47/2)&lt;Data!$O$47/2,Data!$O$47/2,IF((TAN(Data!$AA$5*PI()/180)*AP56)+(Data!$O$47/2)&gt;250,250,(TAN(Data!$AA$5*PI()/180)*AP56)+(Data!$O$47/2)))</f>
        <v>#VALUE!</v>
      </c>
      <c r="AT56" s="72" t="str">
        <f t="shared" ca="1" si="52"/>
        <v>No</v>
      </c>
      <c r="AU56" s="72" t="e">
        <f ca="1">IF(((AP56-(Data!$O$47/2))/8)&gt;0,((AP56-(Data!$O$47/2))/8),0)</f>
        <v>#VALUE!</v>
      </c>
      <c r="AV56" s="72" t="e">
        <f t="shared" ca="1" si="53"/>
        <v>#VALUE!</v>
      </c>
      <c r="AW56" s="72" t="str">
        <f>IF(Data!$D$30="","",IF(AND($C56="",$D56="",$E56="",$G56="",$H56="",$I56=""),"",IF(AND(AR56="Inside",AT56="Yes",AV56&gt;0),"Yes - "&amp;ROUND(AV56,2)&amp;" ft","No")))</f>
        <v/>
      </c>
      <c r="AX56" s="72" t="str">
        <f ca="1">IF(Data!$O$47/2+2000&lt;AP56,"Beyond",IF(Data!$O$47/2&gt;AP56,"Behind","Inside"))</f>
        <v>Beyond</v>
      </c>
      <c r="AY56" s="72" t="e">
        <f ca="1">(TAN(Data!$AA$12*PI()/180)*AP56)+(Data!$O$47/2)</f>
        <v>#VALUE!</v>
      </c>
      <c r="AZ56" s="72" t="e">
        <f t="shared" ca="1" si="54"/>
        <v>#VALUE!</v>
      </c>
      <c r="BA56" s="72" t="e">
        <f t="shared" ca="1" si="55"/>
        <v>#VALUE!</v>
      </c>
      <c r="BB56" s="72" t="e">
        <f t="shared" ca="1" si="56"/>
        <v>#VALUE!</v>
      </c>
      <c r="BC56" s="72" t="str">
        <f>IF(Data!$D$30="","",IF(AND($C56="",$D56="",$E56="",$G56="",$H56="",$I56=""),"",IF(AND(AX56="Inside",AZ56="Yes",BB56&gt;0),"Yes - "&amp;ROUND(BB56,2)&amp;" ft","No")))</f>
        <v/>
      </c>
      <c r="BD56" s="72" t="str">
        <f ca="1">IF(0-Data!$O$47/2&gt;AP56,"Behind",IF(Data!$O$47/2+4000&lt;AP56,"Beyond","Inside"))</f>
        <v>Beyond</v>
      </c>
      <c r="BE56" s="72" t="e">
        <f t="shared" ca="1" si="57"/>
        <v>#VALUE!</v>
      </c>
      <c r="BF56" s="72" t="e">
        <f t="shared" ca="1" si="58"/>
        <v>#VALUE!</v>
      </c>
      <c r="BG56" s="72" t="e">
        <f t="shared" ca="1" si="59"/>
        <v>#VALUE!</v>
      </c>
      <c r="BH56" s="72" t="str">
        <f>IF(Data!$D$30="","",IF(AND($C56="",$D56="",$E56="",$G56="",$H56="",$I56=""),"",IF(AND(BD56="Inside",BE56="Yes",BG56&gt;0),"Yes - "&amp;ROUND(BG56,2)&amp;" ft","No")))</f>
        <v/>
      </c>
      <c r="BI56" s="3" t="str">
        <f t="shared" si="60"/>
        <v/>
      </c>
      <c r="BJ56" s="3" t="str">
        <f t="shared" si="61"/>
        <v/>
      </c>
      <c r="BK56" s="3" t="str">
        <f ca="1">IF(Data!$O$47/2+4000&lt;BI56,"Beyond",IF(Data!$O$47/2&gt;BI56,"Behind","Inside"))</f>
        <v>Beyond</v>
      </c>
      <c r="BL56" s="20" t="e">
        <f ca="1">IF((TAN(Data!$AA$5*PI()/180)*BI56)+(Data!$O$47/2)&lt;Data!$O$47/2,Data!$O$47/2,IF((TAN(Data!$AA$5*PI()/180)*BI56)+(Data!$O$47/2)&gt;250,250,(TAN(Data!$AA$5*PI()/180)*BI56)+(Data!$O$47/2)))</f>
        <v>#VALUE!</v>
      </c>
      <c r="BM56" s="3" t="str">
        <f t="shared" ca="1" si="62"/>
        <v>No</v>
      </c>
      <c r="BN56" s="20" t="e">
        <f ca="1">IF(((BI56-(Data!$O$47/2))/8)&gt;0,((BI56-(Data!$O$47/2))/8),0)</f>
        <v>#VALUE!</v>
      </c>
      <c r="BO56" s="20" t="e">
        <f t="shared" ca="1" si="63"/>
        <v>#VALUE!</v>
      </c>
      <c r="BP56" s="3" t="str">
        <f>IF(Data!$D$31="","",IF(AND($C56="",$D56="",$E56="",$G56="",$H56="",$I56=""),"",IF(AND(BK56="Inside",BM56="Yes",BO56&gt;0),"Yes - "&amp;ROUND(BO56,2)&amp;" ft","No")))</f>
        <v/>
      </c>
      <c r="BQ56" s="3" t="str">
        <f ca="1">IF(Data!$O$47/2+2000&lt;BI56,"Beyond",IF(Data!$O$47/2&gt;BI56,"Behind","Inside"))</f>
        <v>Beyond</v>
      </c>
      <c r="BR56" s="20" t="e">
        <f ca="1">(TAN(Data!$AA$12*PI()/180)*BI56)+(Data!$O$47/2)</f>
        <v>#VALUE!</v>
      </c>
      <c r="BS56" s="3" t="e">
        <f t="shared" ca="1" si="64"/>
        <v>#VALUE!</v>
      </c>
      <c r="BT56" s="20" t="e">
        <f t="shared" ca="1" si="65"/>
        <v>#VALUE!</v>
      </c>
      <c r="BU56" s="20" t="e">
        <f t="shared" ca="1" si="66"/>
        <v>#VALUE!</v>
      </c>
      <c r="BV56" s="3" t="str">
        <f>IF(Data!$D$31="","",IF(AND($C56="",$D56="",$E56="",$G56="",$H56="",$I56=""),"",IF(AND(BQ56="Inside",BS56="Yes",BU56&gt;0),"Yes - "&amp;ROUND(BU56,2)&amp;" ft","No")))</f>
        <v/>
      </c>
      <c r="BW56" s="3" t="str">
        <f ca="1">IF(0-Data!$O$47/2&gt;BI56,"Behind",IF(Data!$O$47/2+4000&lt;BI56,"Beyond","Inside"))</f>
        <v>Beyond</v>
      </c>
      <c r="BX56" s="3" t="e">
        <f t="shared" ca="1" si="67"/>
        <v>#VALUE!</v>
      </c>
      <c r="BY56" s="20" t="e">
        <f t="shared" ca="1" si="68"/>
        <v>#VALUE!</v>
      </c>
      <c r="BZ56" s="20" t="e">
        <f t="shared" ca="1" si="69"/>
        <v>#VALUE!</v>
      </c>
      <c r="CA56" s="3" t="str">
        <f>IF(Data!$D$31="","",IF(AND($C56="",$D56="",$E56="",$G56="",$H56="",$I56=""),"",IF(AND(BW56="Inside",BX56="Yes",BZ56&gt;0),"Yes - "&amp;ROUND(BZ56,2)&amp;" ft","No")))</f>
        <v/>
      </c>
      <c r="CB56" s="9"/>
      <c r="CC56" t="str">
        <f t="shared" si="70"/>
        <v>No</v>
      </c>
      <c r="CD56" t="s">
        <v>462</v>
      </c>
      <c r="CE56" t="s">
        <v>463</v>
      </c>
      <c r="CF56" t="s">
        <v>464</v>
      </c>
      <c r="CG56" t="s">
        <v>465</v>
      </c>
      <c r="CH56" t="s">
        <v>466</v>
      </c>
      <c r="CI56" t="s">
        <v>464</v>
      </c>
      <c r="CJ56" t="s">
        <v>467</v>
      </c>
      <c r="CK56" t="s">
        <v>468</v>
      </c>
      <c r="CL56" t="s">
        <v>469</v>
      </c>
      <c r="CM56" t="s">
        <v>470</v>
      </c>
      <c r="CN56" t="s">
        <v>471</v>
      </c>
      <c r="CO56" t="s">
        <v>472</v>
      </c>
      <c r="CQ56" t="s">
        <v>473</v>
      </c>
      <c r="CR56" t="s">
        <v>472</v>
      </c>
      <c r="CS56" t="s">
        <v>474</v>
      </c>
      <c r="CT56" t="s">
        <v>475</v>
      </c>
      <c r="CU56" t="s">
        <v>476</v>
      </c>
      <c r="CV56" t="s">
        <v>477</v>
      </c>
      <c r="CW56" t="s">
        <v>473</v>
      </c>
      <c r="CX56" t="s">
        <v>478</v>
      </c>
      <c r="CY56" t="s">
        <v>479</v>
      </c>
      <c r="CZ56" t="s">
        <v>480</v>
      </c>
      <c r="DA56" t="s">
        <v>472</v>
      </c>
      <c r="DB56" t="s">
        <v>478</v>
      </c>
      <c r="DC56" t="s">
        <v>481</v>
      </c>
      <c r="DD56" t="s">
        <v>482</v>
      </c>
      <c r="DE56" t="s">
        <v>483</v>
      </c>
      <c r="DF56" t="s">
        <v>484</v>
      </c>
      <c r="DG56" t="s">
        <v>480</v>
      </c>
      <c r="DH56" t="s">
        <v>485</v>
      </c>
      <c r="DI56" t="s">
        <v>486</v>
      </c>
      <c r="DJ56" t="s">
        <v>472</v>
      </c>
      <c r="DK56" t="s">
        <v>487</v>
      </c>
      <c r="DL56" t="s">
        <v>478</v>
      </c>
      <c r="DM56" t="s">
        <v>473</v>
      </c>
      <c r="DO56" t="s">
        <v>488</v>
      </c>
      <c r="DP56" t="s">
        <v>489</v>
      </c>
      <c r="DQ56" t="s">
        <v>480</v>
      </c>
      <c r="DR56" t="s">
        <v>490</v>
      </c>
      <c r="DS56" t="s">
        <v>485</v>
      </c>
      <c r="DT56" t="s">
        <v>491</v>
      </c>
      <c r="DU56" t="s">
        <v>492</v>
      </c>
      <c r="DV56" t="s">
        <v>493</v>
      </c>
      <c r="DW56" t="s">
        <v>494</v>
      </c>
      <c r="DX56" t="s">
        <v>495</v>
      </c>
      <c r="DY56" t="s">
        <v>496</v>
      </c>
      <c r="DZ56" t="s">
        <v>466</v>
      </c>
      <c r="EA56" t="s">
        <v>464</v>
      </c>
      <c r="EB56" t="s">
        <v>480</v>
      </c>
      <c r="EC56" t="s">
        <v>472</v>
      </c>
      <c r="EE56" t="s">
        <v>473</v>
      </c>
      <c r="EF56" t="s">
        <v>497</v>
      </c>
      <c r="EG56" t="s">
        <v>479</v>
      </c>
      <c r="EH56" t="s">
        <v>478</v>
      </c>
      <c r="EI56" t="s">
        <v>488</v>
      </c>
      <c r="EJ56" t="s">
        <v>485</v>
      </c>
      <c r="EK56" t="s">
        <v>473</v>
      </c>
      <c r="EL56" t="s">
        <v>478</v>
      </c>
      <c r="EM56" t="s">
        <v>479</v>
      </c>
      <c r="EN56" t="s">
        <v>480</v>
      </c>
      <c r="EO56" t="s">
        <v>498</v>
      </c>
      <c r="EP56" t="s">
        <v>499</v>
      </c>
      <c r="EQ56" t="s">
        <v>500</v>
      </c>
      <c r="ER56" t="s">
        <v>501</v>
      </c>
    </row>
    <row r="57" spans="1:148" x14ac:dyDescent="0.25">
      <c r="A57" s="67">
        <v>47</v>
      </c>
      <c r="B57" s="84"/>
      <c r="C57" s="84"/>
      <c r="D57" s="84"/>
      <c r="E57" s="84"/>
      <c r="F57" s="109" t="str">
        <f t="shared" si="27"/>
        <v/>
      </c>
      <c r="G57" s="81"/>
      <c r="H57" s="81"/>
      <c r="I57" s="85"/>
      <c r="J57" s="77" t="str">
        <f t="shared" si="28"/>
        <v/>
      </c>
      <c r="K57" s="77" t="str">
        <f t="shared" si="29"/>
        <v/>
      </c>
      <c r="L57" s="77" t="str">
        <f t="shared" si="30"/>
        <v/>
      </c>
      <c r="M57" s="79" t="str">
        <f t="shared" si="31"/>
        <v/>
      </c>
      <c r="N57" s="79" t="str">
        <f t="shared" si="32"/>
        <v/>
      </c>
      <c r="O57" s="79" t="str">
        <f t="shared" si="33"/>
        <v/>
      </c>
      <c r="P57" s="77" t="str">
        <f t="shared" si="34"/>
        <v/>
      </c>
      <c r="Q57" s="77" t="str">
        <f t="shared" si="35"/>
        <v/>
      </c>
      <c r="R57" s="77" t="str">
        <f t="shared" si="36"/>
        <v/>
      </c>
      <c r="S57" s="8"/>
      <c r="T57" s="74">
        <f t="shared" si="37"/>
        <v>-80.134330559999924</v>
      </c>
      <c r="U57" s="66">
        <f t="shared" si="38"/>
        <v>26.058416670000021</v>
      </c>
      <c r="V57" s="66">
        <f t="shared" si="39"/>
        <v>1.524</v>
      </c>
      <c r="W57" s="3" t="str">
        <f t="shared" si="40"/>
        <v/>
      </c>
      <c r="X57" s="3" t="str">
        <f t="shared" si="41"/>
        <v/>
      </c>
      <c r="Y57" s="3" t="str">
        <f ca="1">IF(Data!$O$47/2+4000&lt;W57,"Beyond",IF(Data!$O$47/2&gt;W57,"Behind","Inside"))</f>
        <v>Beyond</v>
      </c>
      <c r="Z57" s="20" t="e">
        <f ca="1">IF((TAN(Data!$AA$5*PI()/180)*W57)+(Data!$O$47/2)&lt;Data!$O$47/2,Data!$O$47/2,IF((TAN(Data!$AA$5*PI()/180)*W57)+(Data!$O$47/2)&gt;250,250,(TAN(Data!$AA$5*PI()/180)*W57)+(Data!$O$47/2)))</f>
        <v>#VALUE!</v>
      </c>
      <c r="AA57" s="3" t="str">
        <f t="shared" ca="1" si="42"/>
        <v>No</v>
      </c>
      <c r="AB57" s="20" t="e">
        <f ca="1">IF(((W57-(Data!$O$47/2))/8)&gt;0,((W57-(Data!$O$47/2))/8),0)</f>
        <v>#VALUE!</v>
      </c>
      <c r="AC57" s="20" t="e">
        <f t="shared" ca="1" si="43"/>
        <v>#VALUE!</v>
      </c>
      <c r="AD57" s="3" t="str">
        <f>IF(Data!$D$29="","",IF(AND($C57="",$D57="",$E57="",$G57="",$H57="",$I57=""),"",IF(AND(Y57="Inside",AA57="Yes",AC57&gt;0),"Yes - "&amp;ROUND(AC57,2)&amp;" ft","No")))</f>
        <v/>
      </c>
      <c r="AE57" s="3" t="str">
        <f ca="1">IF(Data!$O$47/2+2000&lt;W57,"Beyond",IF(Data!$O$47/2&gt;W57,"Behind","Inside"))</f>
        <v>Beyond</v>
      </c>
      <c r="AF57" s="20" t="e">
        <f ca="1">(TAN(Data!$AA$12*PI()/180)*W57)+(Data!$O$47/2)</f>
        <v>#VALUE!</v>
      </c>
      <c r="AG57" s="3" t="e">
        <f t="shared" ca="1" si="44"/>
        <v>#VALUE!</v>
      </c>
      <c r="AH57" s="20" t="e">
        <f t="shared" ca="1" si="45"/>
        <v>#VALUE!</v>
      </c>
      <c r="AI57" s="20" t="e">
        <f t="shared" ca="1" si="46"/>
        <v>#VALUE!</v>
      </c>
      <c r="AJ57" s="3" t="str">
        <f>IF(Data!$D$29="","",IF(AND($C57="",$D57="",$E57="",$G57="",$H57="",$I57=""),"",IF(AND(AE57="Inside",AG57="Yes",AI57&gt;0),"Yes - "&amp;ROUND(AI57,2)&amp;" ft","No")))</f>
        <v/>
      </c>
      <c r="AK57" s="3" t="str">
        <f ca="1">IF(0-Data!$O$47/2&gt;W57,"Behind",IF(Data!$O$47/2+4000&lt;W57,"Beyond","Inside"))</f>
        <v>Beyond</v>
      </c>
      <c r="AL57" s="3" t="e">
        <f t="shared" ca="1" si="47"/>
        <v>#VALUE!</v>
      </c>
      <c r="AM57" s="20" t="e">
        <f t="shared" ca="1" si="48"/>
        <v>#VALUE!</v>
      </c>
      <c r="AN57" s="20" t="e">
        <f t="shared" ca="1" si="49"/>
        <v>#VALUE!</v>
      </c>
      <c r="AO57" s="3" t="str">
        <f>IF(Data!$D$29="","",IF(AND($C57="",$D57="",$E57="",$G57="",$H57="",$I57=""),"",IF(AND(AK57="Inside",AL57="Yes",AN57&gt;0),"Yes - "&amp;ROUND(AN57,2)&amp;" ft","No")))</f>
        <v/>
      </c>
      <c r="AP57" s="72" t="str">
        <f t="shared" si="50"/>
        <v/>
      </c>
      <c r="AQ57" s="72" t="str">
        <f t="shared" si="51"/>
        <v/>
      </c>
      <c r="AR57" s="72" t="str">
        <f ca="1">IF(Data!$O$47/2+4000&lt;AP57,"Beyond",IF(Data!$O$47/2&gt;AP57,"Behind","Inside"))</f>
        <v>Beyond</v>
      </c>
      <c r="AS57" s="72" t="e">
        <f ca="1">IF((TAN(Data!$AA$5*PI()/180)*AP57)+(Data!$O$47/2)&lt;Data!$O$47/2,Data!$O$47/2,IF((TAN(Data!$AA$5*PI()/180)*AP57)+(Data!$O$47/2)&gt;250,250,(TAN(Data!$AA$5*PI()/180)*AP57)+(Data!$O$47/2)))</f>
        <v>#VALUE!</v>
      </c>
      <c r="AT57" s="72" t="str">
        <f t="shared" ca="1" si="52"/>
        <v>No</v>
      </c>
      <c r="AU57" s="72" t="e">
        <f ca="1">IF(((AP57-(Data!$O$47/2))/8)&gt;0,((AP57-(Data!$O$47/2))/8),0)</f>
        <v>#VALUE!</v>
      </c>
      <c r="AV57" s="72" t="e">
        <f t="shared" ca="1" si="53"/>
        <v>#VALUE!</v>
      </c>
      <c r="AW57" s="72" t="str">
        <f>IF(Data!$D$30="","",IF(AND($C57="",$D57="",$E57="",$G57="",$H57="",$I57=""),"",IF(AND(AR57="Inside",AT57="Yes",AV57&gt;0),"Yes - "&amp;ROUND(AV57,2)&amp;" ft","No")))</f>
        <v/>
      </c>
      <c r="AX57" s="72" t="str">
        <f ca="1">IF(Data!$O$47/2+2000&lt;AP57,"Beyond",IF(Data!$O$47/2&gt;AP57,"Behind","Inside"))</f>
        <v>Beyond</v>
      </c>
      <c r="AY57" s="72" t="e">
        <f ca="1">(TAN(Data!$AA$12*PI()/180)*AP57)+(Data!$O$47/2)</f>
        <v>#VALUE!</v>
      </c>
      <c r="AZ57" s="72" t="e">
        <f t="shared" ca="1" si="54"/>
        <v>#VALUE!</v>
      </c>
      <c r="BA57" s="72" t="e">
        <f t="shared" ca="1" si="55"/>
        <v>#VALUE!</v>
      </c>
      <c r="BB57" s="72" t="e">
        <f t="shared" ca="1" si="56"/>
        <v>#VALUE!</v>
      </c>
      <c r="BC57" s="72" t="str">
        <f>IF(Data!$D$30="","",IF(AND($C57="",$D57="",$E57="",$G57="",$H57="",$I57=""),"",IF(AND(AX57="Inside",AZ57="Yes",BB57&gt;0),"Yes - "&amp;ROUND(BB57,2)&amp;" ft","No")))</f>
        <v/>
      </c>
      <c r="BD57" s="72" t="str">
        <f ca="1">IF(0-Data!$O$47/2&gt;AP57,"Behind",IF(Data!$O$47/2+4000&lt;AP57,"Beyond","Inside"))</f>
        <v>Beyond</v>
      </c>
      <c r="BE57" s="72" t="e">
        <f t="shared" ca="1" si="57"/>
        <v>#VALUE!</v>
      </c>
      <c r="BF57" s="72" t="e">
        <f t="shared" ca="1" si="58"/>
        <v>#VALUE!</v>
      </c>
      <c r="BG57" s="72" t="e">
        <f t="shared" ca="1" si="59"/>
        <v>#VALUE!</v>
      </c>
      <c r="BH57" s="72" t="str">
        <f>IF(Data!$D$30="","",IF(AND($C57="",$D57="",$E57="",$G57="",$H57="",$I57=""),"",IF(AND(BD57="Inside",BE57="Yes",BG57&gt;0),"Yes - "&amp;ROUND(BG57,2)&amp;" ft","No")))</f>
        <v/>
      </c>
      <c r="BI57" s="3" t="str">
        <f t="shared" si="60"/>
        <v/>
      </c>
      <c r="BJ57" s="3" t="str">
        <f t="shared" si="61"/>
        <v/>
      </c>
      <c r="BK57" s="3" t="str">
        <f ca="1">IF(Data!$O$47/2+4000&lt;BI57,"Beyond",IF(Data!$O$47/2&gt;BI57,"Behind","Inside"))</f>
        <v>Beyond</v>
      </c>
      <c r="BL57" s="20" t="e">
        <f ca="1">IF((TAN(Data!$AA$5*PI()/180)*BI57)+(Data!$O$47/2)&lt;Data!$O$47/2,Data!$O$47/2,IF((TAN(Data!$AA$5*PI()/180)*BI57)+(Data!$O$47/2)&gt;250,250,(TAN(Data!$AA$5*PI()/180)*BI57)+(Data!$O$47/2)))</f>
        <v>#VALUE!</v>
      </c>
      <c r="BM57" s="3" t="str">
        <f t="shared" ca="1" si="62"/>
        <v>No</v>
      </c>
      <c r="BN57" s="20" t="e">
        <f ca="1">IF(((BI57-(Data!$O$47/2))/8)&gt;0,((BI57-(Data!$O$47/2))/8),0)</f>
        <v>#VALUE!</v>
      </c>
      <c r="BO57" s="20" t="e">
        <f t="shared" ca="1" si="63"/>
        <v>#VALUE!</v>
      </c>
      <c r="BP57" s="3" t="str">
        <f>IF(Data!$D$31="","",IF(AND($C57="",$D57="",$E57="",$G57="",$H57="",$I57=""),"",IF(AND(BK57="Inside",BM57="Yes",BO57&gt;0),"Yes - "&amp;ROUND(BO57,2)&amp;" ft","No")))</f>
        <v/>
      </c>
      <c r="BQ57" s="3" t="str">
        <f ca="1">IF(Data!$O$47/2+2000&lt;BI57,"Beyond",IF(Data!$O$47/2&gt;BI57,"Behind","Inside"))</f>
        <v>Beyond</v>
      </c>
      <c r="BR57" s="20" t="e">
        <f ca="1">(TAN(Data!$AA$12*PI()/180)*BI57)+(Data!$O$47/2)</f>
        <v>#VALUE!</v>
      </c>
      <c r="BS57" s="3" t="e">
        <f t="shared" ca="1" si="64"/>
        <v>#VALUE!</v>
      </c>
      <c r="BT57" s="20" t="e">
        <f t="shared" ca="1" si="65"/>
        <v>#VALUE!</v>
      </c>
      <c r="BU57" s="20" t="e">
        <f t="shared" ca="1" si="66"/>
        <v>#VALUE!</v>
      </c>
      <c r="BV57" s="3" t="str">
        <f>IF(Data!$D$31="","",IF(AND($C57="",$D57="",$E57="",$G57="",$H57="",$I57=""),"",IF(AND(BQ57="Inside",BS57="Yes",BU57&gt;0),"Yes - "&amp;ROUND(BU57,2)&amp;" ft","No")))</f>
        <v/>
      </c>
      <c r="BW57" s="3" t="str">
        <f ca="1">IF(0-Data!$O$47/2&gt;BI57,"Behind",IF(Data!$O$47/2+4000&lt;BI57,"Beyond","Inside"))</f>
        <v>Beyond</v>
      </c>
      <c r="BX57" s="3" t="e">
        <f t="shared" ca="1" si="67"/>
        <v>#VALUE!</v>
      </c>
      <c r="BY57" s="20" t="e">
        <f t="shared" ca="1" si="68"/>
        <v>#VALUE!</v>
      </c>
      <c r="BZ57" s="20" t="e">
        <f t="shared" ca="1" si="69"/>
        <v>#VALUE!</v>
      </c>
      <c r="CA57" s="3" t="str">
        <f>IF(Data!$D$31="","",IF(AND($C57="",$D57="",$E57="",$G57="",$H57="",$I57=""),"",IF(AND(BW57="Inside",BX57="Yes",BZ57&gt;0),"Yes - "&amp;ROUND(BZ57,2)&amp;" ft","No")))</f>
        <v/>
      </c>
      <c r="CB57" s="9"/>
      <c r="CC57" t="str">
        <f t="shared" si="70"/>
        <v>No</v>
      </c>
      <c r="CD57" s="68" t="s">
        <v>564</v>
      </c>
      <c r="CE57" s="69">
        <f>$C$2</f>
        <v>260330.3</v>
      </c>
      <c r="CF57" s="69">
        <f>$C$3</f>
        <v>800803.59</v>
      </c>
      <c r="CG57" s="70">
        <f t="shared" ref="CG57:CG88" si="71">$F$2</f>
        <v>90</v>
      </c>
      <c r="CH57" s="69">
        <f>IF(AND(G11="",H11="",I11=""),($CX$4),G11)</f>
        <v>260328.83679630503</v>
      </c>
      <c r="CI57" s="69">
        <f>IF(AND(G11="",H11="",I11=""),(CY4),H11)</f>
        <v>800804.60228546301</v>
      </c>
      <c r="CJ57" s="68">
        <f>(ROUND(((((((CE57)-((TRUNC(CE57/100))*100))/60)+(TRUNC(CE57/100))-((TRUNC(CE57/10000))*100))/60)+((TRUNC(CE57/10000)))),8))</f>
        <v>26.05841667</v>
      </c>
      <c r="CK57" s="68">
        <f>(ROUND(((((((CF57)-((TRUNC(CF57/100))*100))/60)+(TRUNC(CF57/100))-((TRUNC(CF57/10000))*100))/60)+((TRUNC(CF57/10000)))),8))</f>
        <v>80.134330559999995</v>
      </c>
      <c r="CL57" s="68">
        <f>(ROUND(((((((CH57)-((TRUNC(CH57/100))*100))/60)+(TRUNC(CH57/100))-((TRUNC(CH57/10000))*100))/60)+((TRUNC(CH57/10000)))),8))</f>
        <v>26.05801022</v>
      </c>
      <c r="CM57" s="68">
        <f>(ROUND(((((((CI57)-((TRUNC(CI57/100))*100))/60)+(TRUNC(CI57/100))-((TRUNC(CI57/10000))*100))/60)+((TRUNC(CI57/10000)))),8))</f>
        <v>80.134611750000005</v>
      </c>
      <c r="CN57" s="68">
        <f>(CJ57-CL57)</f>
        <v>4.0644999999983611E-4</v>
      </c>
      <c r="CO57" s="68">
        <f>(CK57-CM57)</f>
        <v>-2.8119000000970118E-4</v>
      </c>
      <c r="CP57" s="68">
        <f>SIN((CL57+(CN57/2))*(PI()/180))</f>
        <v>0.43928410975627102</v>
      </c>
      <c r="CQ57" s="68">
        <f>(SQRT((((COS((CL57+(CN57/2))*(PI()/180)))*(COS((CL57+(CN57/2))*(PI()/180))))/148.38)+1))</f>
        <v>1.0027157807635658</v>
      </c>
      <c r="CR57" s="68">
        <f>(COS((CL57+(CN57/2))*(PI()/180)))*CO57</f>
        <v>-2.5260652762357726E-4</v>
      </c>
      <c r="CS57" s="68">
        <f>ROUND((CP57/(COS((CL57+(CN57/2))*(PI()/180)))),9)</f>
        <v>0.48899092199999999</v>
      </c>
      <c r="CT57" s="68">
        <f>ROUND((CS57*CS57),9)</f>
        <v>0.23911212200000001</v>
      </c>
      <c r="CU57" s="68">
        <f>ROUND((CR57*CR57),9)</f>
        <v>6.4000000000000004E-8</v>
      </c>
      <c r="CV57" s="68">
        <f>(((((((CT57*3+2)*-1)*CU57)/78787)+1)/(CQ57*CQ57*CQ57))*(CN57*-1))</f>
        <v>-4.0315641818963039E-4</v>
      </c>
      <c r="CW57" s="68">
        <f>((((((CN57*CN57)+(CU57*(-1*CT57)))/78787)+1)/CQ57)*CR57)</f>
        <v>-2.519223617201861E-4</v>
      </c>
      <c r="CX57" s="68">
        <f>ROUND((((CR57*(((CU57+CU57+(3*CN57*CN57))/78787)+1))*CS57)/2),9)</f>
        <v>-6.1760999999999994E-5</v>
      </c>
      <c r="CY57" s="68">
        <f>(ROUND((SQRT((CW57*CW57)+(CV57*CV57))),9))*111693.756178</f>
        <v>53.098653218240308</v>
      </c>
      <c r="CZ57" s="68">
        <f>IF((CE57=CH57),(90*(CW57/(ABS(CW57)))),(IF((CE57&gt;CH57),(((ATAN(CW57/CV57))*(180/PI()))-180),((ATAN(CW57/CV57))*(180/PI())))))</f>
        <v>-147.99976778454464</v>
      </c>
      <c r="DA57" s="68">
        <f>ROUND((IF((CX57&gt;CZ57),(CZ57+360-CX57),(CZ57-CX57))),9)</f>
        <v>212.00029397599999</v>
      </c>
      <c r="DB57" s="68">
        <f>ROUND((IF(((CZ57+180+CX57)&lt;0),(CZ57+180+CX57+360),(CZ57+180+CX57))),9)</f>
        <v>32.000170453999999</v>
      </c>
      <c r="DC57" s="68">
        <f>ROUND((DA57+360),9)</f>
        <v>572.00029397599997</v>
      </c>
      <c r="DD57" s="68">
        <f>IF((AND(((ABS(CG57+360-DC57))&gt;180),((ABS(CG57+360-DC57))&lt;&gt;180))),(COS((ABS(((ABS(CG57+360-DC57))*-1)+360))*(PI()/180))),(COS((ABS(CG57+360-DC57))*(PI()/180))))</f>
        <v>-0.52992361543305877</v>
      </c>
      <c r="DE57" s="68">
        <f>ROUND(((CY57/1852)*DD57),7)</f>
        <v>-1.5193399999999999E-2</v>
      </c>
      <c r="DF57" s="68">
        <f>ROUND((DE57*6076.115489),3)</f>
        <v>-92.316999999999993</v>
      </c>
      <c r="DG57" s="68">
        <f>(CJ57*(PI()/180))</f>
        <v>0.45480516874807669</v>
      </c>
      <c r="DH57" s="68">
        <f>(CK57*(PI()/180))</f>
        <v>1.3986079121535113</v>
      </c>
      <c r="DI57" s="68">
        <f>(CG57*(PI()/180))</f>
        <v>1.5707963267948966</v>
      </c>
      <c r="DJ57" s="68">
        <f>(DA57+DI57)</f>
        <v>213.57109030279489</v>
      </c>
      <c r="DK57" s="68">
        <f>((DE57*1852)/6399598.4)</f>
        <v>-4.3968660283432781E-6</v>
      </c>
      <c r="DL57" s="68">
        <f>((1+(((COS((((COS(DI57))*DK57)/2)+DG57))*(COS((((COS(DI57))*DK57)/2)+DG57)))/148.38)))</f>
        <v>1.0054389181253889</v>
      </c>
      <c r="DM57" s="68">
        <f>(((DL57*DL57)*(DK57*DK57))*(SIN(DI57))*(COS(DI57)))</f>
        <v>1.1971720537800084E-27</v>
      </c>
      <c r="DN57" s="68">
        <f>((((COS(DI57))*DK57)/2)+DG57)</f>
        <v>0.45480516874807669</v>
      </c>
      <c r="DO57" s="68">
        <f>(((TAN((DN57-DG57)+DN57))*DM57)*(TAN(DI57)))</f>
        <v>9.5565810916965521E-12</v>
      </c>
      <c r="DP57" s="68">
        <f>((((COS(DI57-(DM57/3)))*DK57)*((SQRT(DL57))*DL57))-(DO57/2))</f>
        <v>-4.7782905461198175E-12</v>
      </c>
      <c r="DQ57" s="68">
        <f>(DG57+DP57)</f>
        <v>0.4548051687432984</v>
      </c>
      <c r="DR57" s="68">
        <f>ROUND(((((SQRT((((COS(DQ57))*(COS(DQ57)))/148.38)+1))*DK57)*(SIN(DI57-(DM57/6))))/(COS(DQ57+(DO57/6)))),9)</f>
        <v>-4.9080000000000003E-6</v>
      </c>
      <c r="DS57" s="68">
        <f>ROUND((DH57-DR57),9)</f>
        <v>1.3986128200000001</v>
      </c>
      <c r="DT57" s="68">
        <f>(DQ57*(180/PI()))</f>
        <v>26.058416669726224</v>
      </c>
      <c r="DU57" s="68">
        <f>(ROUND((((((DT57-(TRUNC(DT57)))*0.6)*100)-(TRUNC(((DT57-(TRUNC(DT57)))*0.6)*100)))*0.006)+(TRUNC(DT57)+((TRUNC(((DT57-(TRUNC(DT57)))*0.6)*100))/100)),6))*10000</f>
        <v>260330.3</v>
      </c>
      <c r="DV57" s="68">
        <f>ROUND((DS57*(180/PI())),8)</f>
        <v>80.134611759999999</v>
      </c>
      <c r="DW57" s="68">
        <f>(ROUND((((((DV57-(TRUNC(DV57)))*0.6)*100)-(TRUNC(((DV57-(TRUNC(DV57)))*0.6)*100)))*0.006)+(TRUNC(DV57)+((TRUNC(((DV57-(TRUNC(DV57)))*0.6)*100))/100)),6))*10000</f>
        <v>800804.6</v>
      </c>
      <c r="DX57" s="68">
        <f>(CL57)</f>
        <v>26.05801022</v>
      </c>
      <c r="DY57" s="68">
        <f>(CM57)</f>
        <v>80.134611750000005</v>
      </c>
      <c r="DZ57" s="68">
        <f>(DT57)</f>
        <v>26.058416669726224</v>
      </c>
      <c r="EA57" s="68">
        <f>(DV57)</f>
        <v>80.134611759999999</v>
      </c>
      <c r="EB57" s="68">
        <f>ROUND((DX57-DZ57),9)</f>
        <v>-4.0644999999999999E-4</v>
      </c>
      <c r="EC57" s="68">
        <f>(DY57-EA57)</f>
        <v>-9.9999937219763524E-9</v>
      </c>
      <c r="ED57" s="68">
        <f>SIN((DZ57+(EB57/2))*(PI()/180))</f>
        <v>0.43928410975197846</v>
      </c>
      <c r="EE57" s="68">
        <f>SQRT(((((COS((DZ57+(EB57/2))*(PI()/180)))*(COS((DZ57+(EB57/2))*(PI()/180))))/148.38)+1))</f>
        <v>1.0027157807635787</v>
      </c>
      <c r="EF57" s="68">
        <f>(COS((DZ57+(EB57/2))*(PI()/180)))</f>
        <v>0.89834819024663914</v>
      </c>
      <c r="EG57" s="68">
        <f>(ED57/EF57)</f>
        <v>0.48899092191789706</v>
      </c>
      <c r="EH57" s="68">
        <f>(EG57*EG57)</f>
        <v>0.23911212171811491</v>
      </c>
      <c r="EI57" s="68">
        <f>(EC57*EF57)*(EC57*EF57)</f>
        <v>8.070284576097094E-17</v>
      </c>
      <c r="EJ57" s="68">
        <f>(((((-1*(2+(EH57*3)))*EI57)/78787)+1)/(EE57*EE57*EE57))*(EB57*-1)</f>
        <v>4.0315641819066726E-4</v>
      </c>
      <c r="EK57" s="68">
        <f>(((((EI57*(EH57*-1))+(EB57*EB57))/78787)+1)/EE57)*(EC57*EF57)</f>
        <v>-8.959145188473082E-9</v>
      </c>
      <c r="EL57" s="68">
        <f>((((((EB57*EB57*3)+2*EI57)/78787)+1)*(EF57*EC57))*EG57)/2</f>
        <v>-2.1964191698556946E-9</v>
      </c>
      <c r="EM57" s="68">
        <f>(ROUND((SQRT((EK57*EK57)+(EJ57*EJ57))),11))*111693.756178</f>
        <v>45.030054877075358</v>
      </c>
      <c r="EN57" s="68">
        <f>IF((DX57=DZ57),(90*(EK57/(ABS(EK57)))),(IF((DX57&gt;DZ57),(IF((((ATAN(EK57/EJ57))*(180/PI()))&gt;0),(((ATAN(EK57/EJ57))*(180/PI()))-180),(((ATAN(EK57/EJ57))*(180/PI()))+180))),((ATAN(EK57/EJ57))*(180/PI())))))</f>
        <v>-1.2732556995215154E-3</v>
      </c>
      <c r="EO57" s="68">
        <f>IF((EL57&gt;EN57),(IF(((EN57+360-EL57)&gt;360),(EN57+360+EL57)-360,EN57+360-EL57)),(EN57-EL57))</f>
        <v>359.99872674649691</v>
      </c>
      <c r="EP57" s="68">
        <f>IF(((EN57+180+EL57)&gt;360),(EN57+180+EL57)-360,EN57+180+EL57)</f>
        <v>179.99872674210405</v>
      </c>
      <c r="EQ57" s="68">
        <f>(ROUND((EM57/1852),7))</f>
        <v>2.43143E-2</v>
      </c>
      <c r="ER57" s="68">
        <f>ROUND((EQ57*6076.115489),3)</f>
        <v>147.73599999999999</v>
      </c>
    </row>
    <row r="58" spans="1:148" x14ac:dyDescent="0.25">
      <c r="A58" s="67">
        <v>48</v>
      </c>
      <c r="B58" s="84"/>
      <c r="C58" s="84"/>
      <c r="D58" s="84"/>
      <c r="E58" s="84"/>
      <c r="F58" s="109" t="str">
        <f t="shared" si="27"/>
        <v/>
      </c>
      <c r="G58" s="81"/>
      <c r="H58" s="81"/>
      <c r="I58" s="85"/>
      <c r="J58" s="77" t="str">
        <f t="shared" si="28"/>
        <v/>
      </c>
      <c r="K58" s="77" t="str">
        <f t="shared" si="29"/>
        <v/>
      </c>
      <c r="L58" s="77" t="str">
        <f t="shared" si="30"/>
        <v/>
      </c>
      <c r="M58" s="79" t="str">
        <f t="shared" si="31"/>
        <v/>
      </c>
      <c r="N58" s="79" t="str">
        <f t="shared" si="32"/>
        <v/>
      </c>
      <c r="O58" s="79" t="str">
        <f t="shared" si="33"/>
        <v/>
      </c>
      <c r="P58" s="77" t="str">
        <f t="shared" si="34"/>
        <v/>
      </c>
      <c r="Q58" s="77" t="str">
        <f t="shared" si="35"/>
        <v/>
      </c>
      <c r="R58" s="77" t="str">
        <f t="shared" si="36"/>
        <v/>
      </c>
      <c r="S58" s="8"/>
      <c r="T58" s="74">
        <f t="shared" si="37"/>
        <v>-80.134330559999924</v>
      </c>
      <c r="U58" s="66">
        <f t="shared" si="38"/>
        <v>26.058416670000021</v>
      </c>
      <c r="V58" s="66">
        <f t="shared" si="39"/>
        <v>1.524</v>
      </c>
      <c r="W58" s="3" t="str">
        <f t="shared" si="40"/>
        <v/>
      </c>
      <c r="X58" s="3" t="str">
        <f t="shared" si="41"/>
        <v/>
      </c>
      <c r="Y58" s="3" t="str">
        <f ca="1">IF(Data!$O$47/2+4000&lt;W58,"Beyond",IF(Data!$O$47/2&gt;W58,"Behind","Inside"))</f>
        <v>Beyond</v>
      </c>
      <c r="Z58" s="20" t="e">
        <f ca="1">IF((TAN(Data!$AA$5*PI()/180)*W58)+(Data!$O$47/2)&lt;Data!$O$47/2,Data!$O$47/2,IF((TAN(Data!$AA$5*PI()/180)*W58)+(Data!$O$47/2)&gt;250,250,(TAN(Data!$AA$5*PI()/180)*W58)+(Data!$O$47/2)))</f>
        <v>#VALUE!</v>
      </c>
      <c r="AA58" s="3" t="str">
        <f t="shared" ca="1" si="42"/>
        <v>No</v>
      </c>
      <c r="AB58" s="20" t="e">
        <f ca="1">IF(((W58-(Data!$O$47/2))/8)&gt;0,((W58-(Data!$O$47/2))/8),0)</f>
        <v>#VALUE!</v>
      </c>
      <c r="AC58" s="20" t="e">
        <f t="shared" ca="1" si="43"/>
        <v>#VALUE!</v>
      </c>
      <c r="AD58" s="3" t="str">
        <f>IF(Data!$D$29="","",IF(AND($C58="",$D58="",$E58="",$G58="",$H58="",$I58=""),"",IF(AND(Y58="Inside",AA58="Yes",AC58&gt;0),"Yes - "&amp;ROUND(AC58,2)&amp;" ft","No")))</f>
        <v/>
      </c>
      <c r="AE58" s="3" t="str">
        <f ca="1">IF(Data!$O$47/2+2000&lt;W58,"Beyond",IF(Data!$O$47/2&gt;W58,"Behind","Inside"))</f>
        <v>Beyond</v>
      </c>
      <c r="AF58" s="20" t="e">
        <f ca="1">(TAN(Data!$AA$12*PI()/180)*W58)+(Data!$O$47/2)</f>
        <v>#VALUE!</v>
      </c>
      <c r="AG58" s="3" t="e">
        <f t="shared" ca="1" si="44"/>
        <v>#VALUE!</v>
      </c>
      <c r="AH58" s="20" t="e">
        <f t="shared" ca="1" si="45"/>
        <v>#VALUE!</v>
      </c>
      <c r="AI58" s="20" t="e">
        <f t="shared" ca="1" si="46"/>
        <v>#VALUE!</v>
      </c>
      <c r="AJ58" s="3" t="str">
        <f>IF(Data!$D$29="","",IF(AND($C58="",$D58="",$E58="",$G58="",$H58="",$I58=""),"",IF(AND(AE58="Inside",AG58="Yes",AI58&gt;0),"Yes - "&amp;ROUND(AI58,2)&amp;" ft","No")))</f>
        <v/>
      </c>
      <c r="AK58" s="3" t="str">
        <f ca="1">IF(0-Data!$O$47/2&gt;W58,"Behind",IF(Data!$O$47/2+4000&lt;W58,"Beyond","Inside"))</f>
        <v>Beyond</v>
      </c>
      <c r="AL58" s="3" t="e">
        <f t="shared" ca="1" si="47"/>
        <v>#VALUE!</v>
      </c>
      <c r="AM58" s="20" t="e">
        <f t="shared" ca="1" si="48"/>
        <v>#VALUE!</v>
      </c>
      <c r="AN58" s="20" t="e">
        <f t="shared" ca="1" si="49"/>
        <v>#VALUE!</v>
      </c>
      <c r="AO58" s="3" t="str">
        <f>IF(Data!$D$29="","",IF(AND($C58="",$D58="",$E58="",$G58="",$H58="",$I58=""),"",IF(AND(AK58="Inside",AL58="Yes",AN58&gt;0),"Yes - "&amp;ROUND(AN58,2)&amp;" ft","No")))</f>
        <v/>
      </c>
      <c r="AP58" s="72" t="str">
        <f t="shared" si="50"/>
        <v/>
      </c>
      <c r="AQ58" s="72" t="str">
        <f t="shared" si="51"/>
        <v/>
      </c>
      <c r="AR58" s="72" t="str">
        <f ca="1">IF(Data!$O$47/2+4000&lt;AP58,"Beyond",IF(Data!$O$47/2&gt;AP58,"Behind","Inside"))</f>
        <v>Beyond</v>
      </c>
      <c r="AS58" s="72" t="e">
        <f ca="1">IF((TAN(Data!$AA$5*PI()/180)*AP58)+(Data!$O$47/2)&lt;Data!$O$47/2,Data!$O$47/2,IF((TAN(Data!$AA$5*PI()/180)*AP58)+(Data!$O$47/2)&gt;250,250,(TAN(Data!$AA$5*PI()/180)*AP58)+(Data!$O$47/2)))</f>
        <v>#VALUE!</v>
      </c>
      <c r="AT58" s="72" t="str">
        <f t="shared" ca="1" si="52"/>
        <v>No</v>
      </c>
      <c r="AU58" s="72" t="e">
        <f ca="1">IF(((AP58-(Data!$O$47/2))/8)&gt;0,((AP58-(Data!$O$47/2))/8),0)</f>
        <v>#VALUE!</v>
      </c>
      <c r="AV58" s="72" t="e">
        <f t="shared" ca="1" si="53"/>
        <v>#VALUE!</v>
      </c>
      <c r="AW58" s="72" t="str">
        <f>IF(Data!$D$30="","",IF(AND($C58="",$D58="",$E58="",$G58="",$H58="",$I58=""),"",IF(AND(AR58="Inside",AT58="Yes",AV58&gt;0),"Yes - "&amp;ROUND(AV58,2)&amp;" ft","No")))</f>
        <v/>
      </c>
      <c r="AX58" s="72" t="str">
        <f ca="1">IF(Data!$O$47/2+2000&lt;AP58,"Beyond",IF(Data!$O$47/2&gt;AP58,"Behind","Inside"))</f>
        <v>Beyond</v>
      </c>
      <c r="AY58" s="72" t="e">
        <f ca="1">(TAN(Data!$AA$12*PI()/180)*AP58)+(Data!$O$47/2)</f>
        <v>#VALUE!</v>
      </c>
      <c r="AZ58" s="72" t="e">
        <f t="shared" ca="1" si="54"/>
        <v>#VALUE!</v>
      </c>
      <c r="BA58" s="72" t="e">
        <f t="shared" ca="1" si="55"/>
        <v>#VALUE!</v>
      </c>
      <c r="BB58" s="72" t="e">
        <f t="shared" ca="1" si="56"/>
        <v>#VALUE!</v>
      </c>
      <c r="BC58" s="72" t="str">
        <f>IF(Data!$D$30="","",IF(AND($C58="",$D58="",$E58="",$G58="",$H58="",$I58=""),"",IF(AND(AX58="Inside",AZ58="Yes",BB58&gt;0),"Yes - "&amp;ROUND(BB58,2)&amp;" ft","No")))</f>
        <v/>
      </c>
      <c r="BD58" s="72" t="str">
        <f ca="1">IF(0-Data!$O$47/2&gt;AP58,"Behind",IF(Data!$O$47/2+4000&lt;AP58,"Beyond","Inside"))</f>
        <v>Beyond</v>
      </c>
      <c r="BE58" s="72" t="e">
        <f t="shared" ca="1" si="57"/>
        <v>#VALUE!</v>
      </c>
      <c r="BF58" s="72" t="e">
        <f t="shared" ca="1" si="58"/>
        <v>#VALUE!</v>
      </c>
      <c r="BG58" s="72" t="e">
        <f t="shared" ca="1" si="59"/>
        <v>#VALUE!</v>
      </c>
      <c r="BH58" s="72" t="str">
        <f>IF(Data!$D$30="","",IF(AND($C58="",$D58="",$E58="",$G58="",$H58="",$I58=""),"",IF(AND(BD58="Inside",BE58="Yes",BG58&gt;0),"Yes - "&amp;ROUND(BG58,2)&amp;" ft","No")))</f>
        <v/>
      </c>
      <c r="BI58" s="3" t="str">
        <f t="shared" si="60"/>
        <v/>
      </c>
      <c r="BJ58" s="3" t="str">
        <f t="shared" si="61"/>
        <v/>
      </c>
      <c r="BK58" s="3" t="str">
        <f ca="1">IF(Data!$O$47/2+4000&lt;BI58,"Beyond",IF(Data!$O$47/2&gt;BI58,"Behind","Inside"))</f>
        <v>Beyond</v>
      </c>
      <c r="BL58" s="20" t="e">
        <f ca="1">IF((TAN(Data!$AA$5*PI()/180)*BI58)+(Data!$O$47/2)&lt;Data!$O$47/2,Data!$O$47/2,IF((TAN(Data!$AA$5*PI()/180)*BI58)+(Data!$O$47/2)&gt;250,250,(TAN(Data!$AA$5*PI()/180)*BI58)+(Data!$O$47/2)))</f>
        <v>#VALUE!</v>
      </c>
      <c r="BM58" s="3" t="str">
        <f t="shared" ca="1" si="62"/>
        <v>No</v>
      </c>
      <c r="BN58" s="20" t="e">
        <f ca="1">IF(((BI58-(Data!$O$47/2))/8)&gt;0,((BI58-(Data!$O$47/2))/8),0)</f>
        <v>#VALUE!</v>
      </c>
      <c r="BO58" s="20" t="e">
        <f t="shared" ca="1" si="63"/>
        <v>#VALUE!</v>
      </c>
      <c r="BP58" s="3" t="str">
        <f>IF(Data!$D$31="","",IF(AND($C58="",$D58="",$E58="",$G58="",$H58="",$I58=""),"",IF(AND(BK58="Inside",BM58="Yes",BO58&gt;0),"Yes - "&amp;ROUND(BO58,2)&amp;" ft","No")))</f>
        <v/>
      </c>
      <c r="BQ58" s="3" t="str">
        <f ca="1">IF(Data!$O$47/2+2000&lt;BI58,"Beyond",IF(Data!$O$47/2&gt;BI58,"Behind","Inside"))</f>
        <v>Beyond</v>
      </c>
      <c r="BR58" s="20" t="e">
        <f ca="1">(TAN(Data!$AA$12*PI()/180)*BI58)+(Data!$O$47/2)</f>
        <v>#VALUE!</v>
      </c>
      <c r="BS58" s="3" t="e">
        <f t="shared" ca="1" si="64"/>
        <v>#VALUE!</v>
      </c>
      <c r="BT58" s="20" t="e">
        <f t="shared" ca="1" si="65"/>
        <v>#VALUE!</v>
      </c>
      <c r="BU58" s="20" t="e">
        <f t="shared" ca="1" si="66"/>
        <v>#VALUE!</v>
      </c>
      <c r="BV58" s="3" t="str">
        <f>IF(Data!$D$31="","",IF(AND($C58="",$D58="",$E58="",$G58="",$H58="",$I58=""),"",IF(AND(BQ58="Inside",BS58="Yes",BU58&gt;0),"Yes - "&amp;ROUND(BU58,2)&amp;" ft","No")))</f>
        <v/>
      </c>
      <c r="BW58" s="3" t="str">
        <f ca="1">IF(0-Data!$O$47/2&gt;BI58,"Behind",IF(Data!$O$47/2+4000&lt;BI58,"Beyond","Inside"))</f>
        <v>Beyond</v>
      </c>
      <c r="BX58" s="3" t="e">
        <f t="shared" ca="1" si="67"/>
        <v>#VALUE!</v>
      </c>
      <c r="BY58" s="20" t="e">
        <f t="shared" ca="1" si="68"/>
        <v>#VALUE!</v>
      </c>
      <c r="BZ58" s="20" t="e">
        <f t="shared" ca="1" si="69"/>
        <v>#VALUE!</v>
      </c>
      <c r="CA58" s="3" t="str">
        <f>IF(Data!$D$31="","",IF(AND($C58="",$D58="",$E58="",$G58="",$H58="",$I58=""),"",IF(AND(BW58="Inside",BX58="Yes",BZ58&gt;0),"Yes - "&amp;ROUND(BZ58,2)&amp;" ft","No")))</f>
        <v/>
      </c>
      <c r="CB58" s="9"/>
      <c r="CC58" t="str">
        <f t="shared" si="70"/>
        <v>No</v>
      </c>
      <c r="CD58" s="68" t="s">
        <v>565</v>
      </c>
      <c r="CE58" s="69">
        <f t="shared" ref="CE58:CE121" si="72">$C$2</f>
        <v>260330.3</v>
      </c>
      <c r="CF58" s="69">
        <f t="shared" ref="CF58:CF121" si="73">$C$3</f>
        <v>800803.59</v>
      </c>
      <c r="CG58" s="70">
        <f t="shared" si="71"/>
        <v>90</v>
      </c>
      <c r="CH58" s="69">
        <f>IF(AND(G12="",H12="",I12=""),(CX5),G12)</f>
        <v>260330.30001199999</v>
      </c>
      <c r="CI58" s="69">
        <f>IF(AND(G12="",H12="",I12=""),(CY5),H12)</f>
        <v>800803.59001599997</v>
      </c>
      <c r="CJ58" s="68">
        <f t="shared" ref="CJ58:CJ106" si="74">(ROUND(((((((CE58)-((TRUNC(CE58/100))*100))/60)+(TRUNC(CE58/100))-((TRUNC(CE58/10000))*100))/60)+((TRUNC(CE58/10000)))),8))</f>
        <v>26.05841667</v>
      </c>
      <c r="CK58" s="68">
        <f t="shared" ref="CK58:CK106" si="75">(ROUND(((((((CF58)-((TRUNC(CF58/100))*100))/60)+(TRUNC(CF58/100))-((TRUNC(CF58/10000))*100))/60)+((TRUNC(CF58/10000)))),8))</f>
        <v>80.134330559999995</v>
      </c>
      <c r="CL58" s="68">
        <f t="shared" ref="CL58:CL106" si="76">(ROUND(((((((CH58)-((TRUNC(CH58/100))*100))/60)+(TRUNC(CH58/100))-((TRUNC(CH58/10000))*100))/60)+((TRUNC(CH58/10000)))),8))</f>
        <v>26.05841667</v>
      </c>
      <c r="CM58" s="68">
        <f t="shared" ref="CM58:CM106" si="77">(ROUND(((((((CI58)-((TRUNC(CI58/100))*100))/60)+(TRUNC(CI58/100))-((TRUNC(CI58/10000))*100))/60)+((TRUNC(CI58/10000)))),8))</f>
        <v>80.134330559999995</v>
      </c>
      <c r="CN58" s="68">
        <f t="shared" ref="CN58:CN106" si="78">(CJ58-CL58)</f>
        <v>0</v>
      </c>
      <c r="CO58" s="68">
        <f t="shared" ref="CO58:CO106" si="79">(CK58-CM58)</f>
        <v>0</v>
      </c>
      <c r="CP58" s="68">
        <f t="shared" ref="CP58:CP106" si="80">SIN((CL58+(CN58/2))*(PI()/180))</f>
        <v>0.43928729614546391</v>
      </c>
      <c r="CQ58" s="68">
        <f t="shared" ref="CQ58:CQ106" si="81">(SQRT((((COS((CL58+(CN58/2))*(PI()/180)))*(COS((CL58+(CN58/2))*(PI()/180))))/148.38)+1))</f>
        <v>1.0027157713556663</v>
      </c>
      <c r="CR58" s="68">
        <f t="shared" ref="CR58:CR106" si="82">(COS((CL58+(CN58/2))*(PI()/180)))*CO58</f>
        <v>0</v>
      </c>
      <c r="CS58" s="68">
        <f t="shared" ref="CS58:CS106" si="83">ROUND((CP58/(COS((CL58+(CN58/2))*(PI()/180)))),9)</f>
        <v>0.48899531699999998</v>
      </c>
      <c r="CT58" s="68">
        <f t="shared" ref="CT58:CT121" si="84">ROUND((CS58*CS58),9)</f>
        <v>0.23911642</v>
      </c>
      <c r="CU58" s="68">
        <f t="shared" ref="CU58:CU106" si="85">ROUND((CR58*CR58),9)</f>
        <v>0</v>
      </c>
      <c r="CV58" s="68">
        <f t="shared" ref="CV58:CV106" si="86">(((((((CT58*3+2)*-1)*CU58)/78787)+1)/(CQ58*CQ58*CQ58))*(CN58*-1))</f>
        <v>0</v>
      </c>
      <c r="CW58" s="68">
        <f t="shared" ref="CW58:CW106" si="87">((((((CN58*CN58)+(CU58*(-1*CT58)))/78787)+1)/CQ58)*CR58)</f>
        <v>0</v>
      </c>
      <c r="CX58" s="68">
        <f t="shared" ref="CX58:CX106" si="88">ROUND((((CR58*(((CU58+CU58+(3*CN58*CN58))/78787)+1))*CS58)/2),9)</f>
        <v>0</v>
      </c>
      <c r="CY58" s="68">
        <f t="shared" ref="CY58:CY106" si="89">(ROUND((SQRT((CW58*CW58)+(CV58*CV58))),9))*111693.756178</f>
        <v>0</v>
      </c>
      <c r="CZ58" s="68" t="e">
        <f t="shared" ref="CZ58:CZ106" si="90">IF((CE58=CH58),(90*(CW58/(ABS(CW58)))),(IF((CE58&gt;CH58),(((ATAN(CW58/CV58))*(180/PI()))-180),((ATAN(CW58/CV58))*(180/PI())))))</f>
        <v>#DIV/0!</v>
      </c>
      <c r="DA58" s="68" t="e">
        <f t="shared" ref="DA58:DA106" si="91">ROUND((IF((CX58&gt;CZ58),(CZ58+360-CX58),(CZ58-CX58))),9)</f>
        <v>#DIV/0!</v>
      </c>
      <c r="DB58" s="68" t="e">
        <f t="shared" ref="DB58:DB106" si="92">ROUND((IF(((CZ58+180+CX58)&lt;0),(CZ58+180+CX58+360),(CZ58+180+CX58))),9)</f>
        <v>#DIV/0!</v>
      </c>
      <c r="DC58" s="68" t="e">
        <f t="shared" ref="DC58:DC106" si="93">ROUND((DA58+360),9)</f>
        <v>#DIV/0!</v>
      </c>
      <c r="DD58" s="68" t="e">
        <f t="shared" ref="DD58:DD106" si="94">IF((AND(((ABS(CG58+360-DC58))&gt;180),((ABS(CG58+360-DC58))&lt;&gt;180))),(COS((ABS(((ABS(CG58+360-DC58))*-1)+360))*(PI()/180))),(COS((ABS(CG58+360-DC58))*(PI()/180))))</f>
        <v>#DIV/0!</v>
      </c>
      <c r="DE58" s="68" t="e">
        <f t="shared" ref="DE58:DE106" si="95">ROUND(((CY58/1852)*DD58),7)</f>
        <v>#DIV/0!</v>
      </c>
      <c r="DF58" s="68" t="e">
        <f t="shared" ref="DF58:DF121" si="96">ROUND((DE58*6076.115489),3)</f>
        <v>#DIV/0!</v>
      </c>
      <c r="DG58" s="68">
        <f t="shared" ref="DG58:DG106" si="97">(CJ58*(PI()/180))</f>
        <v>0.45480516874807669</v>
      </c>
      <c r="DH58" s="68">
        <f t="shared" ref="DH58:DH106" si="98">(CK58*(PI()/180))</f>
        <v>1.3986079121535113</v>
      </c>
      <c r="DI58" s="68">
        <f t="shared" ref="DI58:DI106" si="99">(CG58*(PI()/180))</f>
        <v>1.5707963267948966</v>
      </c>
      <c r="DJ58" s="68" t="e">
        <f t="shared" ref="DJ58:DJ106" si="100">(DA58+DI58)</f>
        <v>#DIV/0!</v>
      </c>
      <c r="DK58" s="68" t="e">
        <f t="shared" ref="DK58:DK106" si="101">((DE58*1852)/6399598.4)</f>
        <v>#DIV/0!</v>
      </c>
      <c r="DL58" s="68" t="e">
        <f t="shared" ref="DL58:DL106" si="102">((1+(((COS((((COS(DI58))*DK58)/2)+DG58))*(COS((((COS(DI58))*DK58)/2)+DG58)))/148.38)))</f>
        <v>#DIV/0!</v>
      </c>
      <c r="DM58" s="68" t="e">
        <f t="shared" ref="DM58:DM106" si="103">(((DL58*DL58)*(DK58*DK58))*(SIN(DI58))*(COS(DI58)))</f>
        <v>#DIV/0!</v>
      </c>
      <c r="DN58" s="68" t="e">
        <f t="shared" ref="DN58:DN106" si="104">((((COS(DI58))*DK58)/2)+DG58)</f>
        <v>#DIV/0!</v>
      </c>
      <c r="DO58" s="68" t="e">
        <f t="shared" ref="DO58:DO106" si="105">(((TAN((DN58-DG58)+DN58))*DM58)*(TAN(DI58)))</f>
        <v>#DIV/0!</v>
      </c>
      <c r="DP58" s="68" t="e">
        <f t="shared" ref="DP58:DP106" si="106">((((COS(DI58-(DM58/3)))*DK58)*((SQRT(DL58))*DL58))-(DO58/2))</f>
        <v>#DIV/0!</v>
      </c>
      <c r="DQ58" s="68" t="e">
        <f t="shared" ref="DQ58:DQ106" si="107">(DG58+DP58)</f>
        <v>#DIV/0!</v>
      </c>
      <c r="DR58" s="68" t="e">
        <f t="shared" ref="DR58:DR106" si="108">ROUND(((((SQRT((((COS(DQ58))*(COS(DQ58)))/148.38)+1))*DK58)*(SIN(DI58-(DM58/6))))/(COS(DQ58+(DO58/6)))),9)</f>
        <v>#DIV/0!</v>
      </c>
      <c r="DS58" s="68" t="e">
        <f t="shared" ref="DS58:DS106" si="109">ROUND((DH58-DR58),9)</f>
        <v>#DIV/0!</v>
      </c>
      <c r="DT58" s="68" t="e">
        <f t="shared" ref="DT58:DT106" si="110">(DQ58*(180/PI()))</f>
        <v>#DIV/0!</v>
      </c>
      <c r="DU58" s="68" t="e">
        <f t="shared" ref="DU58:DU121" si="111">(ROUND((((((DT58-(TRUNC(DT58)))*0.6)*100)-(TRUNC(((DT58-(TRUNC(DT58)))*0.6)*100)))*0.006)+(TRUNC(DT58)+((TRUNC(((DT58-(TRUNC(DT58)))*0.6)*100))/100)),6))*10000</f>
        <v>#DIV/0!</v>
      </c>
      <c r="DV58" s="68" t="e">
        <f t="shared" ref="DV58:DV106" si="112">ROUND((DS58*(180/PI())),8)</f>
        <v>#DIV/0!</v>
      </c>
      <c r="DW58" s="68" t="e">
        <f t="shared" ref="DW58:DW121" si="113">(ROUND((((((DV58-(TRUNC(DV58)))*0.6)*100)-(TRUNC(((DV58-(TRUNC(DV58)))*0.6)*100)))*0.006)+(TRUNC(DV58)+((TRUNC(((DV58-(TRUNC(DV58)))*0.6)*100))/100)),6))*10000</f>
        <v>#DIV/0!</v>
      </c>
      <c r="DX58" s="68">
        <f t="shared" ref="DX58:DX106" si="114">(CL58)</f>
        <v>26.05841667</v>
      </c>
      <c r="DY58" s="68">
        <f t="shared" ref="DY58:DY106" si="115">(CM58)</f>
        <v>80.134330559999995</v>
      </c>
      <c r="DZ58" s="68" t="e">
        <f t="shared" ref="DZ58:DZ106" si="116">(DT58)</f>
        <v>#DIV/0!</v>
      </c>
      <c r="EA58" s="68" t="e">
        <f t="shared" ref="EA58:EA106" si="117">(DV58)</f>
        <v>#DIV/0!</v>
      </c>
      <c r="EB58" s="68" t="e">
        <f t="shared" ref="EB58:EB106" si="118">ROUND((DX58-DZ58),9)</f>
        <v>#DIV/0!</v>
      </c>
      <c r="EC58" s="68" t="e">
        <f t="shared" ref="EC58:EC106" si="119">(DY58-EA58)</f>
        <v>#DIV/0!</v>
      </c>
      <c r="ED58" s="68" t="e">
        <f t="shared" ref="ED58:ED106" si="120">SIN((DZ58+(EB58/2))*(PI()/180))</f>
        <v>#DIV/0!</v>
      </c>
      <c r="EE58" s="68" t="e">
        <f t="shared" ref="EE58:EE106" si="121">SQRT(((((COS((DZ58+(EB58/2))*(PI()/180)))*(COS((DZ58+(EB58/2))*(PI()/180))))/148.38)+1))</f>
        <v>#DIV/0!</v>
      </c>
      <c r="EF58" s="68" t="e">
        <f t="shared" ref="EF58:EF106" si="122">(COS((DZ58+(EB58/2))*(PI()/180)))</f>
        <v>#DIV/0!</v>
      </c>
      <c r="EG58" s="68" t="e">
        <f t="shared" ref="EG58:EG106" si="123">(ED58/EF58)</f>
        <v>#DIV/0!</v>
      </c>
      <c r="EH58" s="68" t="e">
        <f t="shared" ref="EH58:EH121" si="124">(EG58*EG58)</f>
        <v>#DIV/0!</v>
      </c>
      <c r="EI58" s="68" t="e">
        <f t="shared" ref="EI58:EI106" si="125">(EC58*EF58)*(EC58*EF58)</f>
        <v>#DIV/0!</v>
      </c>
      <c r="EJ58" s="68" t="e">
        <f t="shared" ref="EJ58:EJ106" si="126">(((((-1*(2+(EH58*3)))*EI58)/78787)+1)/(EE58*EE58*EE58))*(EB58*-1)</f>
        <v>#DIV/0!</v>
      </c>
      <c r="EK58" s="68" t="e">
        <f t="shared" ref="EK58:EK106" si="127">(((((EI58*(EH58*-1))+(EB58*EB58))/78787)+1)/EE58)*(EC58*EF58)</f>
        <v>#DIV/0!</v>
      </c>
      <c r="EL58" s="68" t="e">
        <f t="shared" ref="EL58:EL106" si="128">((((((EB58*EB58*3)+2*EI58)/78787)+1)*(EF58*EC58))*EG58)/2</f>
        <v>#DIV/0!</v>
      </c>
      <c r="EM58" s="68" t="e">
        <f t="shared" ref="EM58:EM106" si="129">(ROUND((SQRT((EK58*EK58)+(EJ58*EJ58))),11))*111693.756178</f>
        <v>#DIV/0!</v>
      </c>
      <c r="EN58" s="68" t="e">
        <f t="shared" ref="EN58:EN106" si="130">IF((DX58=DZ58),(90*(EK58/(ABS(EK58)))),(IF((DX58&gt;DZ58),(IF((((ATAN(EK58/EJ58))*(180/PI()))&gt;0),(((ATAN(EK58/EJ58))*(180/PI()))-180),(((ATAN(EK58/EJ58))*(180/PI()))+180))),((ATAN(EK58/EJ58))*(180/PI())))))</f>
        <v>#DIV/0!</v>
      </c>
      <c r="EO58" s="68" t="e">
        <f t="shared" ref="EO58:EO106" si="131">IF((EL58&gt;EN58),(IF(((EN58+360-EL58)&gt;360),(EN58+360+EL58)-360,EN58+360-EL58)),(EN58-EL58))</f>
        <v>#DIV/0!</v>
      </c>
      <c r="EP58" s="68" t="e">
        <f t="shared" ref="EP58:EP106" si="132">IF(((EN58+180+EL58)&gt;360),(EN58+180+EL58)-360,EN58+180+EL58)</f>
        <v>#DIV/0!</v>
      </c>
      <c r="EQ58" s="68" t="e">
        <f t="shared" ref="EQ58:EQ106" si="133">(ROUND((EM58/1852),7))</f>
        <v>#DIV/0!</v>
      </c>
      <c r="ER58" s="68" t="e">
        <f t="shared" ref="ER58:ER121" si="134">ROUND((EQ58*6076.115489),3)</f>
        <v>#DIV/0!</v>
      </c>
    </row>
    <row r="59" spans="1:148" x14ac:dyDescent="0.25">
      <c r="A59" s="67">
        <v>49</v>
      </c>
      <c r="B59" s="84"/>
      <c r="C59" s="84"/>
      <c r="D59" s="84"/>
      <c r="E59" s="84"/>
      <c r="F59" s="109" t="str">
        <f t="shared" si="27"/>
        <v/>
      </c>
      <c r="G59" s="81"/>
      <c r="H59" s="81"/>
      <c r="I59" s="85"/>
      <c r="J59" s="77" t="str">
        <f t="shared" si="28"/>
        <v/>
      </c>
      <c r="K59" s="77" t="str">
        <f t="shared" si="29"/>
        <v/>
      </c>
      <c r="L59" s="77" t="str">
        <f t="shared" si="30"/>
        <v/>
      </c>
      <c r="M59" s="79" t="str">
        <f t="shared" si="31"/>
        <v/>
      </c>
      <c r="N59" s="79" t="str">
        <f t="shared" si="32"/>
        <v/>
      </c>
      <c r="O59" s="79" t="str">
        <f t="shared" si="33"/>
        <v/>
      </c>
      <c r="P59" s="77" t="str">
        <f t="shared" si="34"/>
        <v/>
      </c>
      <c r="Q59" s="77" t="str">
        <f t="shared" si="35"/>
        <v/>
      </c>
      <c r="R59" s="77" t="str">
        <f t="shared" si="36"/>
        <v/>
      </c>
      <c r="S59" s="8"/>
      <c r="T59" s="74">
        <f t="shared" si="37"/>
        <v>-80.134330559999924</v>
      </c>
      <c r="U59" s="66">
        <f t="shared" si="38"/>
        <v>26.058416670000021</v>
      </c>
      <c r="V59" s="66">
        <f t="shared" si="39"/>
        <v>1.524</v>
      </c>
      <c r="W59" s="3" t="str">
        <f t="shared" si="40"/>
        <v/>
      </c>
      <c r="X59" s="3" t="str">
        <f t="shared" si="41"/>
        <v/>
      </c>
      <c r="Y59" s="3" t="str">
        <f ca="1">IF(Data!$O$47/2+4000&lt;W59,"Beyond",IF(Data!$O$47/2&gt;W59,"Behind","Inside"))</f>
        <v>Beyond</v>
      </c>
      <c r="Z59" s="20" t="e">
        <f ca="1">IF((TAN(Data!$AA$5*PI()/180)*W59)+(Data!$O$47/2)&lt;Data!$O$47/2,Data!$O$47/2,IF((TAN(Data!$AA$5*PI()/180)*W59)+(Data!$O$47/2)&gt;250,250,(TAN(Data!$AA$5*PI()/180)*W59)+(Data!$O$47/2)))</f>
        <v>#VALUE!</v>
      </c>
      <c r="AA59" s="3" t="str">
        <f t="shared" ca="1" si="42"/>
        <v>No</v>
      </c>
      <c r="AB59" s="20" t="e">
        <f ca="1">IF(((W59-(Data!$O$47/2))/8)&gt;0,((W59-(Data!$O$47/2))/8),0)</f>
        <v>#VALUE!</v>
      </c>
      <c r="AC59" s="20" t="e">
        <f t="shared" ca="1" si="43"/>
        <v>#VALUE!</v>
      </c>
      <c r="AD59" s="3" t="str">
        <f>IF(Data!$D$29="","",IF(AND($C59="",$D59="",$E59="",$G59="",$H59="",$I59=""),"",IF(AND(Y59="Inside",AA59="Yes",AC59&gt;0),"Yes - "&amp;ROUND(AC59,2)&amp;" ft","No")))</f>
        <v/>
      </c>
      <c r="AE59" s="3" t="str">
        <f ca="1">IF(Data!$O$47/2+2000&lt;W59,"Beyond",IF(Data!$O$47/2&gt;W59,"Behind","Inside"))</f>
        <v>Beyond</v>
      </c>
      <c r="AF59" s="20" t="e">
        <f ca="1">(TAN(Data!$AA$12*PI()/180)*W59)+(Data!$O$47/2)</f>
        <v>#VALUE!</v>
      </c>
      <c r="AG59" s="3" t="e">
        <f t="shared" ca="1" si="44"/>
        <v>#VALUE!</v>
      </c>
      <c r="AH59" s="20" t="e">
        <f t="shared" ca="1" si="45"/>
        <v>#VALUE!</v>
      </c>
      <c r="AI59" s="20" t="e">
        <f t="shared" ca="1" si="46"/>
        <v>#VALUE!</v>
      </c>
      <c r="AJ59" s="3" t="str">
        <f>IF(Data!$D$29="","",IF(AND($C59="",$D59="",$E59="",$G59="",$H59="",$I59=""),"",IF(AND(AE59="Inside",AG59="Yes",AI59&gt;0),"Yes - "&amp;ROUND(AI59,2)&amp;" ft","No")))</f>
        <v/>
      </c>
      <c r="AK59" s="3" t="str">
        <f ca="1">IF(0-Data!$O$47/2&gt;W59,"Behind",IF(Data!$O$47/2+4000&lt;W59,"Beyond","Inside"))</f>
        <v>Beyond</v>
      </c>
      <c r="AL59" s="3" t="e">
        <f t="shared" ca="1" si="47"/>
        <v>#VALUE!</v>
      </c>
      <c r="AM59" s="20" t="e">
        <f t="shared" ca="1" si="48"/>
        <v>#VALUE!</v>
      </c>
      <c r="AN59" s="20" t="e">
        <f t="shared" ca="1" si="49"/>
        <v>#VALUE!</v>
      </c>
      <c r="AO59" s="3" t="str">
        <f>IF(Data!$D$29="","",IF(AND($C59="",$D59="",$E59="",$G59="",$H59="",$I59=""),"",IF(AND(AK59="Inside",AL59="Yes",AN59&gt;0),"Yes - "&amp;ROUND(AN59,2)&amp;" ft","No")))</f>
        <v/>
      </c>
      <c r="AP59" s="72" t="str">
        <f t="shared" si="50"/>
        <v/>
      </c>
      <c r="AQ59" s="72" t="str">
        <f t="shared" si="51"/>
        <v/>
      </c>
      <c r="AR59" s="72" t="str">
        <f ca="1">IF(Data!$O$47/2+4000&lt;AP59,"Beyond",IF(Data!$O$47/2&gt;AP59,"Behind","Inside"))</f>
        <v>Beyond</v>
      </c>
      <c r="AS59" s="72" t="e">
        <f ca="1">IF((TAN(Data!$AA$5*PI()/180)*AP59)+(Data!$O$47/2)&lt;Data!$O$47/2,Data!$O$47/2,IF((TAN(Data!$AA$5*PI()/180)*AP59)+(Data!$O$47/2)&gt;250,250,(TAN(Data!$AA$5*PI()/180)*AP59)+(Data!$O$47/2)))</f>
        <v>#VALUE!</v>
      </c>
      <c r="AT59" s="72" t="str">
        <f t="shared" ca="1" si="52"/>
        <v>No</v>
      </c>
      <c r="AU59" s="72" t="e">
        <f ca="1">IF(((AP59-(Data!$O$47/2))/8)&gt;0,((AP59-(Data!$O$47/2))/8),0)</f>
        <v>#VALUE!</v>
      </c>
      <c r="AV59" s="72" t="e">
        <f t="shared" ca="1" si="53"/>
        <v>#VALUE!</v>
      </c>
      <c r="AW59" s="72" t="str">
        <f>IF(Data!$D$30="","",IF(AND($C59="",$D59="",$E59="",$G59="",$H59="",$I59=""),"",IF(AND(AR59="Inside",AT59="Yes",AV59&gt;0),"Yes - "&amp;ROUND(AV59,2)&amp;" ft","No")))</f>
        <v/>
      </c>
      <c r="AX59" s="72" t="str">
        <f ca="1">IF(Data!$O$47/2+2000&lt;AP59,"Beyond",IF(Data!$O$47/2&gt;AP59,"Behind","Inside"))</f>
        <v>Beyond</v>
      </c>
      <c r="AY59" s="72" t="e">
        <f ca="1">(TAN(Data!$AA$12*PI()/180)*AP59)+(Data!$O$47/2)</f>
        <v>#VALUE!</v>
      </c>
      <c r="AZ59" s="72" t="e">
        <f t="shared" ca="1" si="54"/>
        <v>#VALUE!</v>
      </c>
      <c r="BA59" s="72" t="e">
        <f t="shared" ca="1" si="55"/>
        <v>#VALUE!</v>
      </c>
      <c r="BB59" s="72" t="e">
        <f t="shared" ca="1" si="56"/>
        <v>#VALUE!</v>
      </c>
      <c r="BC59" s="72" t="str">
        <f>IF(Data!$D$30="","",IF(AND($C59="",$D59="",$E59="",$G59="",$H59="",$I59=""),"",IF(AND(AX59="Inside",AZ59="Yes",BB59&gt;0),"Yes - "&amp;ROUND(BB59,2)&amp;" ft","No")))</f>
        <v/>
      </c>
      <c r="BD59" s="72" t="str">
        <f ca="1">IF(0-Data!$O$47/2&gt;AP59,"Behind",IF(Data!$O$47/2+4000&lt;AP59,"Beyond","Inside"))</f>
        <v>Beyond</v>
      </c>
      <c r="BE59" s="72" t="e">
        <f t="shared" ca="1" si="57"/>
        <v>#VALUE!</v>
      </c>
      <c r="BF59" s="72" t="e">
        <f t="shared" ca="1" si="58"/>
        <v>#VALUE!</v>
      </c>
      <c r="BG59" s="72" t="e">
        <f t="shared" ca="1" si="59"/>
        <v>#VALUE!</v>
      </c>
      <c r="BH59" s="72" t="str">
        <f>IF(Data!$D$30="","",IF(AND($C59="",$D59="",$E59="",$G59="",$H59="",$I59=""),"",IF(AND(BD59="Inside",BE59="Yes",BG59&gt;0),"Yes - "&amp;ROUND(BG59,2)&amp;" ft","No")))</f>
        <v/>
      </c>
      <c r="BI59" s="3" t="str">
        <f t="shared" si="60"/>
        <v/>
      </c>
      <c r="BJ59" s="3" t="str">
        <f t="shared" si="61"/>
        <v/>
      </c>
      <c r="BK59" s="3" t="str">
        <f ca="1">IF(Data!$O$47/2+4000&lt;BI59,"Beyond",IF(Data!$O$47/2&gt;BI59,"Behind","Inside"))</f>
        <v>Beyond</v>
      </c>
      <c r="BL59" s="20" t="e">
        <f ca="1">IF((TAN(Data!$AA$5*PI()/180)*BI59)+(Data!$O$47/2)&lt;Data!$O$47/2,Data!$O$47/2,IF((TAN(Data!$AA$5*PI()/180)*BI59)+(Data!$O$47/2)&gt;250,250,(TAN(Data!$AA$5*PI()/180)*BI59)+(Data!$O$47/2)))</f>
        <v>#VALUE!</v>
      </c>
      <c r="BM59" s="3" t="str">
        <f t="shared" ca="1" si="62"/>
        <v>No</v>
      </c>
      <c r="BN59" s="20" t="e">
        <f ca="1">IF(((BI59-(Data!$O$47/2))/8)&gt;0,((BI59-(Data!$O$47/2))/8),0)</f>
        <v>#VALUE!</v>
      </c>
      <c r="BO59" s="20" t="e">
        <f t="shared" ca="1" si="63"/>
        <v>#VALUE!</v>
      </c>
      <c r="BP59" s="3" t="str">
        <f>IF(Data!$D$31="","",IF(AND($C59="",$D59="",$E59="",$G59="",$H59="",$I59=""),"",IF(AND(BK59="Inside",BM59="Yes",BO59&gt;0),"Yes - "&amp;ROUND(BO59,2)&amp;" ft","No")))</f>
        <v/>
      </c>
      <c r="BQ59" s="3" t="str">
        <f ca="1">IF(Data!$O$47/2+2000&lt;BI59,"Beyond",IF(Data!$O$47/2&gt;BI59,"Behind","Inside"))</f>
        <v>Beyond</v>
      </c>
      <c r="BR59" s="20" t="e">
        <f ca="1">(TAN(Data!$AA$12*PI()/180)*BI59)+(Data!$O$47/2)</f>
        <v>#VALUE!</v>
      </c>
      <c r="BS59" s="3" t="e">
        <f t="shared" ca="1" si="64"/>
        <v>#VALUE!</v>
      </c>
      <c r="BT59" s="20" t="e">
        <f t="shared" ca="1" si="65"/>
        <v>#VALUE!</v>
      </c>
      <c r="BU59" s="20" t="e">
        <f t="shared" ca="1" si="66"/>
        <v>#VALUE!</v>
      </c>
      <c r="BV59" s="3" t="str">
        <f>IF(Data!$D$31="","",IF(AND($C59="",$D59="",$E59="",$G59="",$H59="",$I59=""),"",IF(AND(BQ59="Inside",BS59="Yes",BU59&gt;0),"Yes - "&amp;ROUND(BU59,2)&amp;" ft","No")))</f>
        <v/>
      </c>
      <c r="BW59" s="3" t="str">
        <f ca="1">IF(0-Data!$O$47/2&gt;BI59,"Behind",IF(Data!$O$47/2+4000&lt;BI59,"Beyond","Inside"))</f>
        <v>Beyond</v>
      </c>
      <c r="BX59" s="3" t="e">
        <f t="shared" ca="1" si="67"/>
        <v>#VALUE!</v>
      </c>
      <c r="BY59" s="20" t="e">
        <f t="shared" ca="1" si="68"/>
        <v>#VALUE!</v>
      </c>
      <c r="BZ59" s="20" t="e">
        <f t="shared" ca="1" si="69"/>
        <v>#VALUE!</v>
      </c>
      <c r="CA59" s="3" t="str">
        <f>IF(Data!$D$31="","",IF(AND($C59="",$D59="",$E59="",$G59="",$H59="",$I59=""),"",IF(AND(BW59="Inside",BX59="Yes",BZ59&gt;0),"Yes - "&amp;ROUND(BZ59,2)&amp;" ft","No")))</f>
        <v/>
      </c>
      <c r="CB59" s="9"/>
      <c r="CC59" t="str">
        <f t="shared" si="70"/>
        <v>No</v>
      </c>
      <c r="CD59" s="68" t="s">
        <v>566</v>
      </c>
      <c r="CE59" s="69">
        <f t="shared" si="72"/>
        <v>260330.3</v>
      </c>
      <c r="CF59" s="69">
        <f t="shared" si="73"/>
        <v>800803.59</v>
      </c>
      <c r="CG59" s="70">
        <f t="shared" si="71"/>
        <v>90</v>
      </c>
      <c r="CH59" s="69">
        <f>IF(AND(G13="",H13="",I13=""),(CX6),G13)</f>
        <v>260330.30001199999</v>
      </c>
      <c r="CI59" s="69">
        <f>IF(AND(G13="",H13="",I13=""),(CY6),H13)</f>
        <v>800803.59001599997</v>
      </c>
      <c r="CJ59" s="68">
        <f t="shared" si="74"/>
        <v>26.05841667</v>
      </c>
      <c r="CK59" s="68">
        <f t="shared" si="75"/>
        <v>80.134330559999995</v>
      </c>
      <c r="CL59" s="68">
        <f t="shared" si="76"/>
        <v>26.05841667</v>
      </c>
      <c r="CM59" s="68">
        <f t="shared" si="77"/>
        <v>80.134330559999995</v>
      </c>
      <c r="CN59" s="68">
        <f t="shared" si="78"/>
        <v>0</v>
      </c>
      <c r="CO59" s="68">
        <f t="shared" si="79"/>
        <v>0</v>
      </c>
      <c r="CP59" s="68">
        <f t="shared" si="80"/>
        <v>0.43928729614546391</v>
      </c>
      <c r="CQ59" s="68">
        <f t="shared" si="81"/>
        <v>1.0027157713556663</v>
      </c>
      <c r="CR59" s="68">
        <f t="shared" si="82"/>
        <v>0</v>
      </c>
      <c r="CS59" s="68">
        <f t="shared" si="83"/>
        <v>0.48899531699999998</v>
      </c>
      <c r="CT59" s="68">
        <f t="shared" si="84"/>
        <v>0.23911642</v>
      </c>
      <c r="CU59" s="68">
        <f t="shared" si="85"/>
        <v>0</v>
      </c>
      <c r="CV59" s="68">
        <f t="shared" si="86"/>
        <v>0</v>
      </c>
      <c r="CW59" s="68">
        <f t="shared" si="87"/>
        <v>0</v>
      </c>
      <c r="CX59" s="68">
        <f t="shared" si="88"/>
        <v>0</v>
      </c>
      <c r="CY59" s="68">
        <f t="shared" si="89"/>
        <v>0</v>
      </c>
      <c r="CZ59" s="68" t="e">
        <f t="shared" si="90"/>
        <v>#DIV/0!</v>
      </c>
      <c r="DA59" s="68" t="e">
        <f t="shared" si="91"/>
        <v>#DIV/0!</v>
      </c>
      <c r="DB59" s="68" t="e">
        <f t="shared" si="92"/>
        <v>#DIV/0!</v>
      </c>
      <c r="DC59" s="68" t="e">
        <f t="shared" si="93"/>
        <v>#DIV/0!</v>
      </c>
      <c r="DD59" s="68" t="e">
        <f t="shared" si="94"/>
        <v>#DIV/0!</v>
      </c>
      <c r="DE59" s="68" t="e">
        <f t="shared" si="95"/>
        <v>#DIV/0!</v>
      </c>
      <c r="DF59" s="68" t="e">
        <f t="shared" si="96"/>
        <v>#DIV/0!</v>
      </c>
      <c r="DG59" s="68">
        <f t="shared" si="97"/>
        <v>0.45480516874807669</v>
      </c>
      <c r="DH59" s="68">
        <f t="shared" si="98"/>
        <v>1.3986079121535113</v>
      </c>
      <c r="DI59" s="68">
        <f t="shared" si="99"/>
        <v>1.5707963267948966</v>
      </c>
      <c r="DJ59" s="68" t="e">
        <f t="shared" si="100"/>
        <v>#DIV/0!</v>
      </c>
      <c r="DK59" s="68" t="e">
        <f t="shared" si="101"/>
        <v>#DIV/0!</v>
      </c>
      <c r="DL59" s="68" t="e">
        <f t="shared" si="102"/>
        <v>#DIV/0!</v>
      </c>
      <c r="DM59" s="68" t="e">
        <f t="shared" si="103"/>
        <v>#DIV/0!</v>
      </c>
      <c r="DN59" s="68" t="e">
        <f t="shared" si="104"/>
        <v>#DIV/0!</v>
      </c>
      <c r="DO59" s="68" t="e">
        <f t="shared" si="105"/>
        <v>#DIV/0!</v>
      </c>
      <c r="DP59" s="68" t="e">
        <f t="shared" si="106"/>
        <v>#DIV/0!</v>
      </c>
      <c r="DQ59" s="68" t="e">
        <f t="shared" si="107"/>
        <v>#DIV/0!</v>
      </c>
      <c r="DR59" s="68" t="e">
        <f t="shared" si="108"/>
        <v>#DIV/0!</v>
      </c>
      <c r="DS59" s="68" t="e">
        <f t="shared" si="109"/>
        <v>#DIV/0!</v>
      </c>
      <c r="DT59" s="68" t="e">
        <f t="shared" si="110"/>
        <v>#DIV/0!</v>
      </c>
      <c r="DU59" s="68" t="e">
        <f t="shared" si="111"/>
        <v>#DIV/0!</v>
      </c>
      <c r="DV59" s="68" t="e">
        <f t="shared" si="112"/>
        <v>#DIV/0!</v>
      </c>
      <c r="DW59" s="68" t="e">
        <f t="shared" si="113"/>
        <v>#DIV/0!</v>
      </c>
      <c r="DX59" s="68">
        <f t="shared" si="114"/>
        <v>26.05841667</v>
      </c>
      <c r="DY59" s="68">
        <f t="shared" si="115"/>
        <v>80.134330559999995</v>
      </c>
      <c r="DZ59" s="68" t="e">
        <f t="shared" si="116"/>
        <v>#DIV/0!</v>
      </c>
      <c r="EA59" s="68" t="e">
        <f t="shared" si="117"/>
        <v>#DIV/0!</v>
      </c>
      <c r="EB59" s="68" t="e">
        <f t="shared" si="118"/>
        <v>#DIV/0!</v>
      </c>
      <c r="EC59" s="68" t="e">
        <f t="shared" si="119"/>
        <v>#DIV/0!</v>
      </c>
      <c r="ED59" s="68" t="e">
        <f t="shared" si="120"/>
        <v>#DIV/0!</v>
      </c>
      <c r="EE59" s="68" t="e">
        <f t="shared" si="121"/>
        <v>#DIV/0!</v>
      </c>
      <c r="EF59" s="68" t="e">
        <f t="shared" si="122"/>
        <v>#DIV/0!</v>
      </c>
      <c r="EG59" s="68" t="e">
        <f t="shared" si="123"/>
        <v>#DIV/0!</v>
      </c>
      <c r="EH59" s="68" t="e">
        <f t="shared" si="124"/>
        <v>#DIV/0!</v>
      </c>
      <c r="EI59" s="68" t="e">
        <f t="shared" si="125"/>
        <v>#DIV/0!</v>
      </c>
      <c r="EJ59" s="68" t="e">
        <f t="shared" si="126"/>
        <v>#DIV/0!</v>
      </c>
      <c r="EK59" s="68" t="e">
        <f t="shared" si="127"/>
        <v>#DIV/0!</v>
      </c>
      <c r="EL59" s="68" t="e">
        <f t="shared" si="128"/>
        <v>#DIV/0!</v>
      </c>
      <c r="EM59" s="68" t="e">
        <f t="shared" si="129"/>
        <v>#DIV/0!</v>
      </c>
      <c r="EN59" s="68" t="e">
        <f t="shared" si="130"/>
        <v>#DIV/0!</v>
      </c>
      <c r="EO59" s="68" t="e">
        <f t="shared" si="131"/>
        <v>#DIV/0!</v>
      </c>
      <c r="EP59" s="68" t="e">
        <f t="shared" si="132"/>
        <v>#DIV/0!</v>
      </c>
      <c r="EQ59" s="68" t="e">
        <f t="shared" si="133"/>
        <v>#DIV/0!</v>
      </c>
      <c r="ER59" s="68" t="e">
        <f t="shared" si="134"/>
        <v>#DIV/0!</v>
      </c>
    </row>
    <row r="60" spans="1:148" x14ac:dyDescent="0.25">
      <c r="A60" s="67">
        <v>50</v>
      </c>
      <c r="B60" s="84"/>
      <c r="C60" s="84"/>
      <c r="D60" s="84"/>
      <c r="E60" s="84"/>
      <c r="F60" s="109" t="str">
        <f t="shared" si="27"/>
        <v/>
      </c>
      <c r="G60" s="81"/>
      <c r="H60" s="81"/>
      <c r="I60" s="85"/>
      <c r="J60" s="77" t="str">
        <f t="shared" si="28"/>
        <v/>
      </c>
      <c r="K60" s="77" t="str">
        <f t="shared" si="29"/>
        <v/>
      </c>
      <c r="L60" s="77" t="str">
        <f t="shared" si="30"/>
        <v/>
      </c>
      <c r="M60" s="79" t="str">
        <f t="shared" si="31"/>
        <v/>
      </c>
      <c r="N60" s="79" t="str">
        <f t="shared" si="32"/>
        <v/>
      </c>
      <c r="O60" s="79" t="str">
        <f t="shared" si="33"/>
        <v/>
      </c>
      <c r="P60" s="77" t="str">
        <f t="shared" si="34"/>
        <v/>
      </c>
      <c r="Q60" s="77" t="str">
        <f t="shared" si="35"/>
        <v/>
      </c>
      <c r="R60" s="77" t="str">
        <f t="shared" si="36"/>
        <v/>
      </c>
      <c r="S60" s="8"/>
      <c r="T60" s="74">
        <f t="shared" si="37"/>
        <v>-80.134330559999924</v>
      </c>
      <c r="U60" s="66">
        <f t="shared" si="38"/>
        <v>26.058416670000021</v>
      </c>
      <c r="V60" s="66">
        <f t="shared" si="39"/>
        <v>1.524</v>
      </c>
      <c r="W60" s="3" t="str">
        <f t="shared" si="40"/>
        <v/>
      </c>
      <c r="X60" s="3" t="str">
        <f t="shared" si="41"/>
        <v/>
      </c>
      <c r="Y60" s="3" t="str">
        <f ca="1">IF(Data!$O$47/2+4000&lt;W60,"Beyond",IF(Data!$O$47/2&gt;W60,"Behind","Inside"))</f>
        <v>Beyond</v>
      </c>
      <c r="Z60" s="20" t="e">
        <f ca="1">IF((TAN(Data!$AA$5*PI()/180)*W60)+(Data!$O$47/2)&lt;Data!$O$47/2,Data!$O$47/2,IF((TAN(Data!$AA$5*PI()/180)*W60)+(Data!$O$47/2)&gt;250,250,(TAN(Data!$AA$5*PI()/180)*W60)+(Data!$O$47/2)))</f>
        <v>#VALUE!</v>
      </c>
      <c r="AA60" s="3" t="str">
        <f t="shared" ca="1" si="42"/>
        <v>No</v>
      </c>
      <c r="AB60" s="20" t="e">
        <f ca="1">IF(((W60-(Data!$O$47/2))/8)&gt;0,((W60-(Data!$O$47/2))/8),0)</f>
        <v>#VALUE!</v>
      </c>
      <c r="AC60" s="20" t="e">
        <f t="shared" ca="1" si="43"/>
        <v>#VALUE!</v>
      </c>
      <c r="AD60" s="3" t="str">
        <f>IF(Data!$D$29="","",IF(AND($C60="",$D60="",$E60="",$G60="",$H60="",$I60=""),"",IF(AND(Y60="Inside",AA60="Yes",AC60&gt;0),"Yes - "&amp;ROUND(AC60,2)&amp;" ft","No")))</f>
        <v/>
      </c>
      <c r="AE60" s="3" t="str">
        <f ca="1">IF(Data!$O$47/2+2000&lt;W60,"Beyond",IF(Data!$O$47/2&gt;W60,"Behind","Inside"))</f>
        <v>Beyond</v>
      </c>
      <c r="AF60" s="20" t="e">
        <f ca="1">(TAN(Data!$AA$12*PI()/180)*W60)+(Data!$O$47/2)</f>
        <v>#VALUE!</v>
      </c>
      <c r="AG60" s="3" t="e">
        <f t="shared" ca="1" si="44"/>
        <v>#VALUE!</v>
      </c>
      <c r="AH60" s="20" t="e">
        <f t="shared" ca="1" si="45"/>
        <v>#VALUE!</v>
      </c>
      <c r="AI60" s="20" t="e">
        <f t="shared" ca="1" si="46"/>
        <v>#VALUE!</v>
      </c>
      <c r="AJ60" s="3" t="str">
        <f>IF(Data!$D$29="","",IF(AND($C60="",$D60="",$E60="",$G60="",$H60="",$I60=""),"",IF(AND(AE60="Inside",AG60="Yes",AI60&gt;0),"Yes - "&amp;ROUND(AI60,2)&amp;" ft","No")))</f>
        <v/>
      </c>
      <c r="AK60" s="3" t="str">
        <f ca="1">IF(0-Data!$O$47/2&gt;W60,"Behind",IF(Data!$O$47/2+4000&lt;W60,"Beyond","Inside"))</f>
        <v>Beyond</v>
      </c>
      <c r="AL60" s="3" t="e">
        <f t="shared" ca="1" si="47"/>
        <v>#VALUE!</v>
      </c>
      <c r="AM60" s="20" t="e">
        <f t="shared" ca="1" si="48"/>
        <v>#VALUE!</v>
      </c>
      <c r="AN60" s="20" t="e">
        <f t="shared" ca="1" si="49"/>
        <v>#VALUE!</v>
      </c>
      <c r="AO60" s="3" t="str">
        <f>IF(Data!$D$29="","",IF(AND($C60="",$D60="",$E60="",$G60="",$H60="",$I60=""),"",IF(AND(AK60="Inside",AL60="Yes",AN60&gt;0),"Yes - "&amp;ROUND(AN60,2)&amp;" ft","No")))</f>
        <v/>
      </c>
      <c r="AP60" s="72" t="str">
        <f t="shared" si="50"/>
        <v/>
      </c>
      <c r="AQ60" s="72" t="str">
        <f t="shared" si="51"/>
        <v/>
      </c>
      <c r="AR60" s="72" t="str">
        <f ca="1">IF(Data!$O$47/2+4000&lt;AP60,"Beyond",IF(Data!$O$47/2&gt;AP60,"Behind","Inside"))</f>
        <v>Beyond</v>
      </c>
      <c r="AS60" s="72" t="e">
        <f ca="1">IF((TAN(Data!$AA$5*PI()/180)*AP60)+(Data!$O$47/2)&lt;Data!$O$47/2,Data!$O$47/2,IF((TAN(Data!$AA$5*PI()/180)*AP60)+(Data!$O$47/2)&gt;250,250,(TAN(Data!$AA$5*PI()/180)*AP60)+(Data!$O$47/2)))</f>
        <v>#VALUE!</v>
      </c>
      <c r="AT60" s="72" t="str">
        <f t="shared" ca="1" si="52"/>
        <v>No</v>
      </c>
      <c r="AU60" s="72" t="e">
        <f ca="1">IF(((AP60-(Data!$O$47/2))/8)&gt;0,((AP60-(Data!$O$47/2))/8),0)</f>
        <v>#VALUE!</v>
      </c>
      <c r="AV60" s="72" t="e">
        <f t="shared" ca="1" si="53"/>
        <v>#VALUE!</v>
      </c>
      <c r="AW60" s="72" t="str">
        <f>IF(Data!$D$30="","",IF(AND($C60="",$D60="",$E60="",$G60="",$H60="",$I60=""),"",IF(AND(AR60="Inside",AT60="Yes",AV60&gt;0),"Yes - "&amp;ROUND(AV60,2)&amp;" ft","No")))</f>
        <v/>
      </c>
      <c r="AX60" s="72" t="str">
        <f ca="1">IF(Data!$O$47/2+2000&lt;AP60,"Beyond",IF(Data!$O$47/2&gt;AP60,"Behind","Inside"))</f>
        <v>Beyond</v>
      </c>
      <c r="AY60" s="72" t="e">
        <f ca="1">(TAN(Data!$AA$12*PI()/180)*AP60)+(Data!$O$47/2)</f>
        <v>#VALUE!</v>
      </c>
      <c r="AZ60" s="72" t="e">
        <f t="shared" ca="1" si="54"/>
        <v>#VALUE!</v>
      </c>
      <c r="BA60" s="72" t="e">
        <f t="shared" ca="1" si="55"/>
        <v>#VALUE!</v>
      </c>
      <c r="BB60" s="72" t="e">
        <f t="shared" ca="1" si="56"/>
        <v>#VALUE!</v>
      </c>
      <c r="BC60" s="72" t="str">
        <f>IF(Data!$D$30="","",IF(AND($C60="",$D60="",$E60="",$G60="",$H60="",$I60=""),"",IF(AND(AX60="Inside",AZ60="Yes",BB60&gt;0),"Yes - "&amp;ROUND(BB60,2)&amp;" ft","No")))</f>
        <v/>
      </c>
      <c r="BD60" s="72" t="str">
        <f ca="1">IF(0-Data!$O$47/2&gt;AP60,"Behind",IF(Data!$O$47/2+4000&lt;AP60,"Beyond","Inside"))</f>
        <v>Beyond</v>
      </c>
      <c r="BE60" s="72" t="e">
        <f t="shared" ca="1" si="57"/>
        <v>#VALUE!</v>
      </c>
      <c r="BF60" s="72" t="e">
        <f t="shared" ca="1" si="58"/>
        <v>#VALUE!</v>
      </c>
      <c r="BG60" s="72" t="e">
        <f t="shared" ca="1" si="59"/>
        <v>#VALUE!</v>
      </c>
      <c r="BH60" s="72" t="str">
        <f>IF(Data!$D$30="","",IF(AND($C60="",$D60="",$E60="",$G60="",$H60="",$I60=""),"",IF(AND(BD60="Inside",BE60="Yes",BG60&gt;0),"Yes - "&amp;ROUND(BG60,2)&amp;" ft","No")))</f>
        <v/>
      </c>
      <c r="BI60" s="3" t="str">
        <f t="shared" si="60"/>
        <v/>
      </c>
      <c r="BJ60" s="3" t="str">
        <f t="shared" si="61"/>
        <v/>
      </c>
      <c r="BK60" s="3" t="str">
        <f ca="1">IF(Data!$O$47/2+4000&lt;BI60,"Beyond",IF(Data!$O$47/2&gt;BI60,"Behind","Inside"))</f>
        <v>Beyond</v>
      </c>
      <c r="BL60" s="20" t="e">
        <f ca="1">IF((TAN(Data!$AA$5*PI()/180)*BI60)+(Data!$O$47/2)&lt;Data!$O$47/2,Data!$O$47/2,IF((TAN(Data!$AA$5*PI()/180)*BI60)+(Data!$O$47/2)&gt;250,250,(TAN(Data!$AA$5*PI()/180)*BI60)+(Data!$O$47/2)))</f>
        <v>#VALUE!</v>
      </c>
      <c r="BM60" s="3" t="str">
        <f t="shared" ca="1" si="62"/>
        <v>No</v>
      </c>
      <c r="BN60" s="20" t="e">
        <f ca="1">IF(((BI60-(Data!$O$47/2))/8)&gt;0,((BI60-(Data!$O$47/2))/8),0)</f>
        <v>#VALUE!</v>
      </c>
      <c r="BO60" s="20" t="e">
        <f t="shared" ca="1" si="63"/>
        <v>#VALUE!</v>
      </c>
      <c r="BP60" s="3" t="str">
        <f>IF(Data!$D$31="","",IF(AND($C60="",$D60="",$E60="",$G60="",$H60="",$I60=""),"",IF(AND(BK60="Inside",BM60="Yes",BO60&gt;0),"Yes - "&amp;ROUND(BO60,2)&amp;" ft","No")))</f>
        <v/>
      </c>
      <c r="BQ60" s="3" t="str">
        <f ca="1">IF(Data!$O$47/2+2000&lt;BI60,"Beyond",IF(Data!$O$47/2&gt;BI60,"Behind","Inside"))</f>
        <v>Beyond</v>
      </c>
      <c r="BR60" s="20" t="e">
        <f ca="1">(TAN(Data!$AA$12*PI()/180)*BI60)+(Data!$O$47/2)</f>
        <v>#VALUE!</v>
      </c>
      <c r="BS60" s="3" t="e">
        <f t="shared" ca="1" si="64"/>
        <v>#VALUE!</v>
      </c>
      <c r="BT60" s="20" t="e">
        <f t="shared" ca="1" si="65"/>
        <v>#VALUE!</v>
      </c>
      <c r="BU60" s="20" t="e">
        <f t="shared" ca="1" si="66"/>
        <v>#VALUE!</v>
      </c>
      <c r="BV60" s="3" t="str">
        <f>IF(Data!$D$31="","",IF(AND($C60="",$D60="",$E60="",$G60="",$H60="",$I60=""),"",IF(AND(BQ60="Inside",BS60="Yes",BU60&gt;0),"Yes - "&amp;ROUND(BU60,2)&amp;" ft","No")))</f>
        <v/>
      </c>
      <c r="BW60" s="3" t="str">
        <f ca="1">IF(0-Data!$O$47/2&gt;BI60,"Behind",IF(Data!$O$47/2+4000&lt;BI60,"Beyond","Inside"))</f>
        <v>Beyond</v>
      </c>
      <c r="BX60" s="3" t="e">
        <f t="shared" ca="1" si="67"/>
        <v>#VALUE!</v>
      </c>
      <c r="BY60" s="20" t="e">
        <f t="shared" ca="1" si="68"/>
        <v>#VALUE!</v>
      </c>
      <c r="BZ60" s="20" t="e">
        <f t="shared" ca="1" si="69"/>
        <v>#VALUE!</v>
      </c>
      <c r="CA60" s="3" t="str">
        <f>IF(Data!$D$31="","",IF(AND($C60="",$D60="",$E60="",$G60="",$H60="",$I60=""),"",IF(AND(BW60="Inside",BX60="Yes",BZ60&gt;0),"Yes - "&amp;ROUND(BZ60,2)&amp;" ft","No")))</f>
        <v/>
      </c>
      <c r="CB60" s="9"/>
      <c r="CC60" t="str">
        <f t="shared" si="70"/>
        <v>No</v>
      </c>
      <c r="CD60" s="68" t="s">
        <v>567</v>
      </c>
      <c r="CE60" s="69">
        <f t="shared" si="72"/>
        <v>260330.3</v>
      </c>
      <c r="CF60" s="69">
        <f t="shared" si="73"/>
        <v>800803.59</v>
      </c>
      <c r="CG60" s="70">
        <f t="shared" si="71"/>
        <v>90</v>
      </c>
      <c r="CH60" s="69">
        <f>IF(AND(G14="",H14="",I14=""),(CX7),G14)</f>
        <v>260330.30001199999</v>
      </c>
      <c r="CI60" s="69">
        <f>IF(AND(G14="",H14="",I14=""),(CY7),H14)</f>
        <v>800803.59001599997</v>
      </c>
      <c r="CJ60" s="68">
        <f t="shared" si="74"/>
        <v>26.05841667</v>
      </c>
      <c r="CK60" s="68">
        <f t="shared" si="75"/>
        <v>80.134330559999995</v>
      </c>
      <c r="CL60" s="68">
        <f t="shared" si="76"/>
        <v>26.05841667</v>
      </c>
      <c r="CM60" s="68">
        <f t="shared" si="77"/>
        <v>80.134330559999995</v>
      </c>
      <c r="CN60" s="68">
        <f t="shared" si="78"/>
        <v>0</v>
      </c>
      <c r="CO60" s="68">
        <f t="shared" si="79"/>
        <v>0</v>
      </c>
      <c r="CP60" s="68">
        <f t="shared" si="80"/>
        <v>0.43928729614546391</v>
      </c>
      <c r="CQ60" s="68">
        <f t="shared" si="81"/>
        <v>1.0027157713556663</v>
      </c>
      <c r="CR60" s="68">
        <f t="shared" si="82"/>
        <v>0</v>
      </c>
      <c r="CS60" s="68">
        <f t="shared" si="83"/>
        <v>0.48899531699999998</v>
      </c>
      <c r="CT60" s="68">
        <f t="shared" si="84"/>
        <v>0.23911642</v>
      </c>
      <c r="CU60" s="68">
        <f t="shared" si="85"/>
        <v>0</v>
      </c>
      <c r="CV60" s="68">
        <f t="shared" si="86"/>
        <v>0</v>
      </c>
      <c r="CW60" s="68">
        <f t="shared" si="87"/>
        <v>0</v>
      </c>
      <c r="CX60" s="68">
        <f t="shared" si="88"/>
        <v>0</v>
      </c>
      <c r="CY60" s="68">
        <f t="shared" si="89"/>
        <v>0</v>
      </c>
      <c r="CZ60" s="68" t="e">
        <f t="shared" si="90"/>
        <v>#DIV/0!</v>
      </c>
      <c r="DA60" s="68" t="e">
        <f t="shared" si="91"/>
        <v>#DIV/0!</v>
      </c>
      <c r="DB60" s="68" t="e">
        <f t="shared" si="92"/>
        <v>#DIV/0!</v>
      </c>
      <c r="DC60" s="68" t="e">
        <f t="shared" si="93"/>
        <v>#DIV/0!</v>
      </c>
      <c r="DD60" s="68" t="e">
        <f t="shared" si="94"/>
        <v>#DIV/0!</v>
      </c>
      <c r="DE60" s="68" t="e">
        <f t="shared" si="95"/>
        <v>#DIV/0!</v>
      </c>
      <c r="DF60" s="68" t="e">
        <f t="shared" si="96"/>
        <v>#DIV/0!</v>
      </c>
      <c r="DG60" s="68">
        <f t="shared" si="97"/>
        <v>0.45480516874807669</v>
      </c>
      <c r="DH60" s="68">
        <f t="shared" si="98"/>
        <v>1.3986079121535113</v>
      </c>
      <c r="DI60" s="68">
        <f t="shared" si="99"/>
        <v>1.5707963267948966</v>
      </c>
      <c r="DJ60" s="68" t="e">
        <f t="shared" si="100"/>
        <v>#DIV/0!</v>
      </c>
      <c r="DK60" s="68" t="e">
        <f t="shared" si="101"/>
        <v>#DIV/0!</v>
      </c>
      <c r="DL60" s="68" t="e">
        <f t="shared" si="102"/>
        <v>#DIV/0!</v>
      </c>
      <c r="DM60" s="68" t="e">
        <f t="shared" si="103"/>
        <v>#DIV/0!</v>
      </c>
      <c r="DN60" s="68" t="e">
        <f t="shared" si="104"/>
        <v>#DIV/0!</v>
      </c>
      <c r="DO60" s="68" t="e">
        <f t="shared" si="105"/>
        <v>#DIV/0!</v>
      </c>
      <c r="DP60" s="68" t="e">
        <f t="shared" si="106"/>
        <v>#DIV/0!</v>
      </c>
      <c r="DQ60" s="68" t="e">
        <f t="shared" si="107"/>
        <v>#DIV/0!</v>
      </c>
      <c r="DR60" s="68" t="e">
        <f t="shared" si="108"/>
        <v>#DIV/0!</v>
      </c>
      <c r="DS60" s="68" t="e">
        <f t="shared" si="109"/>
        <v>#DIV/0!</v>
      </c>
      <c r="DT60" s="68" t="e">
        <f t="shared" si="110"/>
        <v>#DIV/0!</v>
      </c>
      <c r="DU60" s="68" t="e">
        <f t="shared" si="111"/>
        <v>#DIV/0!</v>
      </c>
      <c r="DV60" s="68" t="e">
        <f t="shared" si="112"/>
        <v>#DIV/0!</v>
      </c>
      <c r="DW60" s="68" t="e">
        <f t="shared" si="113"/>
        <v>#DIV/0!</v>
      </c>
      <c r="DX60" s="68">
        <f t="shared" si="114"/>
        <v>26.05841667</v>
      </c>
      <c r="DY60" s="68">
        <f t="shared" si="115"/>
        <v>80.134330559999995</v>
      </c>
      <c r="DZ60" s="68" t="e">
        <f t="shared" si="116"/>
        <v>#DIV/0!</v>
      </c>
      <c r="EA60" s="68" t="e">
        <f t="shared" si="117"/>
        <v>#DIV/0!</v>
      </c>
      <c r="EB60" s="68" t="e">
        <f t="shared" si="118"/>
        <v>#DIV/0!</v>
      </c>
      <c r="EC60" s="68" t="e">
        <f t="shared" si="119"/>
        <v>#DIV/0!</v>
      </c>
      <c r="ED60" s="68" t="e">
        <f t="shared" si="120"/>
        <v>#DIV/0!</v>
      </c>
      <c r="EE60" s="68" t="e">
        <f t="shared" si="121"/>
        <v>#DIV/0!</v>
      </c>
      <c r="EF60" s="68" t="e">
        <f t="shared" si="122"/>
        <v>#DIV/0!</v>
      </c>
      <c r="EG60" s="68" t="e">
        <f t="shared" si="123"/>
        <v>#DIV/0!</v>
      </c>
      <c r="EH60" s="68" t="e">
        <f t="shared" si="124"/>
        <v>#DIV/0!</v>
      </c>
      <c r="EI60" s="68" t="e">
        <f t="shared" si="125"/>
        <v>#DIV/0!</v>
      </c>
      <c r="EJ60" s="68" t="e">
        <f t="shared" si="126"/>
        <v>#DIV/0!</v>
      </c>
      <c r="EK60" s="68" t="e">
        <f t="shared" si="127"/>
        <v>#DIV/0!</v>
      </c>
      <c r="EL60" s="68" t="e">
        <f t="shared" si="128"/>
        <v>#DIV/0!</v>
      </c>
      <c r="EM60" s="68" t="e">
        <f t="shared" si="129"/>
        <v>#DIV/0!</v>
      </c>
      <c r="EN60" s="68" t="e">
        <f t="shared" si="130"/>
        <v>#DIV/0!</v>
      </c>
      <c r="EO60" s="68" t="e">
        <f t="shared" si="131"/>
        <v>#DIV/0!</v>
      </c>
      <c r="EP60" s="68" t="e">
        <f t="shared" si="132"/>
        <v>#DIV/0!</v>
      </c>
      <c r="EQ60" s="68" t="e">
        <f t="shared" si="133"/>
        <v>#DIV/0!</v>
      </c>
      <c r="ER60" s="68" t="e">
        <f t="shared" si="134"/>
        <v>#DIV/0!</v>
      </c>
    </row>
    <row r="61" spans="1:148" x14ac:dyDescent="0.25">
      <c r="A61" s="7"/>
      <c r="B61" s="8"/>
      <c r="C61" s="8"/>
      <c r="D61" s="8"/>
      <c r="E61" s="8"/>
      <c r="F61" s="112"/>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9"/>
      <c r="CD61" s="68" t="s">
        <v>568</v>
      </c>
      <c r="CE61" s="69">
        <f t="shared" si="72"/>
        <v>260330.3</v>
      </c>
      <c r="CF61" s="69">
        <f t="shared" si="73"/>
        <v>800803.59</v>
      </c>
      <c r="CG61" s="70">
        <f t="shared" si="71"/>
        <v>90</v>
      </c>
      <c r="CH61" s="69">
        <f>IF(AND(G15="",H15="",I15=""),(CX8),G15)</f>
        <v>260330.30001199999</v>
      </c>
      <c r="CI61" s="69">
        <f>IF(AND(G15="",H15="",I15=""),(CY8),H15)</f>
        <v>800803.59001599997</v>
      </c>
      <c r="CJ61" s="68">
        <f t="shared" si="74"/>
        <v>26.05841667</v>
      </c>
      <c r="CK61" s="68">
        <f t="shared" si="75"/>
        <v>80.134330559999995</v>
      </c>
      <c r="CL61" s="68">
        <f t="shared" si="76"/>
        <v>26.05841667</v>
      </c>
      <c r="CM61" s="68">
        <f t="shared" si="77"/>
        <v>80.134330559999995</v>
      </c>
      <c r="CN61" s="68">
        <f t="shared" si="78"/>
        <v>0</v>
      </c>
      <c r="CO61" s="68">
        <f t="shared" si="79"/>
        <v>0</v>
      </c>
      <c r="CP61" s="68">
        <f t="shared" si="80"/>
        <v>0.43928729614546391</v>
      </c>
      <c r="CQ61" s="68">
        <f t="shared" si="81"/>
        <v>1.0027157713556663</v>
      </c>
      <c r="CR61" s="68">
        <f t="shared" si="82"/>
        <v>0</v>
      </c>
      <c r="CS61" s="68">
        <f t="shared" si="83"/>
        <v>0.48899531699999998</v>
      </c>
      <c r="CT61" s="68">
        <f t="shared" si="84"/>
        <v>0.23911642</v>
      </c>
      <c r="CU61" s="68">
        <f t="shared" si="85"/>
        <v>0</v>
      </c>
      <c r="CV61" s="68">
        <f t="shared" si="86"/>
        <v>0</v>
      </c>
      <c r="CW61" s="68">
        <f t="shared" si="87"/>
        <v>0</v>
      </c>
      <c r="CX61" s="68">
        <f t="shared" si="88"/>
        <v>0</v>
      </c>
      <c r="CY61" s="68">
        <f t="shared" si="89"/>
        <v>0</v>
      </c>
      <c r="CZ61" s="68" t="e">
        <f t="shared" si="90"/>
        <v>#DIV/0!</v>
      </c>
      <c r="DA61" s="68" t="e">
        <f t="shared" si="91"/>
        <v>#DIV/0!</v>
      </c>
      <c r="DB61" s="68" t="e">
        <f t="shared" si="92"/>
        <v>#DIV/0!</v>
      </c>
      <c r="DC61" s="68" t="e">
        <f t="shared" si="93"/>
        <v>#DIV/0!</v>
      </c>
      <c r="DD61" s="68" t="e">
        <f t="shared" si="94"/>
        <v>#DIV/0!</v>
      </c>
      <c r="DE61" s="68" t="e">
        <f t="shared" si="95"/>
        <v>#DIV/0!</v>
      </c>
      <c r="DF61" s="68" t="e">
        <f t="shared" si="96"/>
        <v>#DIV/0!</v>
      </c>
      <c r="DG61" s="68">
        <f t="shared" si="97"/>
        <v>0.45480516874807669</v>
      </c>
      <c r="DH61" s="68">
        <f t="shared" si="98"/>
        <v>1.3986079121535113</v>
      </c>
      <c r="DI61" s="68">
        <f t="shared" si="99"/>
        <v>1.5707963267948966</v>
      </c>
      <c r="DJ61" s="68" t="e">
        <f t="shared" si="100"/>
        <v>#DIV/0!</v>
      </c>
      <c r="DK61" s="68" t="e">
        <f t="shared" si="101"/>
        <v>#DIV/0!</v>
      </c>
      <c r="DL61" s="68" t="e">
        <f t="shared" si="102"/>
        <v>#DIV/0!</v>
      </c>
      <c r="DM61" s="68" t="e">
        <f t="shared" si="103"/>
        <v>#DIV/0!</v>
      </c>
      <c r="DN61" s="68" t="e">
        <f t="shared" si="104"/>
        <v>#DIV/0!</v>
      </c>
      <c r="DO61" s="68" t="e">
        <f t="shared" si="105"/>
        <v>#DIV/0!</v>
      </c>
      <c r="DP61" s="68" t="e">
        <f t="shared" si="106"/>
        <v>#DIV/0!</v>
      </c>
      <c r="DQ61" s="68" t="e">
        <f t="shared" si="107"/>
        <v>#DIV/0!</v>
      </c>
      <c r="DR61" s="68" t="e">
        <f t="shared" si="108"/>
        <v>#DIV/0!</v>
      </c>
      <c r="DS61" s="68" t="e">
        <f t="shared" si="109"/>
        <v>#DIV/0!</v>
      </c>
      <c r="DT61" s="68" t="e">
        <f t="shared" si="110"/>
        <v>#DIV/0!</v>
      </c>
      <c r="DU61" s="68" t="e">
        <f t="shared" si="111"/>
        <v>#DIV/0!</v>
      </c>
      <c r="DV61" s="68" t="e">
        <f t="shared" si="112"/>
        <v>#DIV/0!</v>
      </c>
      <c r="DW61" s="68" t="e">
        <f t="shared" si="113"/>
        <v>#DIV/0!</v>
      </c>
      <c r="DX61" s="68">
        <f t="shared" si="114"/>
        <v>26.05841667</v>
      </c>
      <c r="DY61" s="68">
        <f t="shared" si="115"/>
        <v>80.134330559999995</v>
      </c>
      <c r="DZ61" s="68" t="e">
        <f t="shared" si="116"/>
        <v>#DIV/0!</v>
      </c>
      <c r="EA61" s="68" t="e">
        <f t="shared" si="117"/>
        <v>#DIV/0!</v>
      </c>
      <c r="EB61" s="68" t="e">
        <f t="shared" si="118"/>
        <v>#DIV/0!</v>
      </c>
      <c r="EC61" s="68" t="e">
        <f t="shared" si="119"/>
        <v>#DIV/0!</v>
      </c>
      <c r="ED61" s="68" t="e">
        <f t="shared" si="120"/>
        <v>#DIV/0!</v>
      </c>
      <c r="EE61" s="68" t="e">
        <f t="shared" si="121"/>
        <v>#DIV/0!</v>
      </c>
      <c r="EF61" s="68" t="e">
        <f t="shared" si="122"/>
        <v>#DIV/0!</v>
      </c>
      <c r="EG61" s="68" t="e">
        <f t="shared" si="123"/>
        <v>#DIV/0!</v>
      </c>
      <c r="EH61" s="68" t="e">
        <f t="shared" si="124"/>
        <v>#DIV/0!</v>
      </c>
      <c r="EI61" s="68" t="e">
        <f t="shared" si="125"/>
        <v>#DIV/0!</v>
      </c>
      <c r="EJ61" s="68" t="e">
        <f t="shared" si="126"/>
        <v>#DIV/0!</v>
      </c>
      <c r="EK61" s="68" t="e">
        <f t="shared" si="127"/>
        <v>#DIV/0!</v>
      </c>
      <c r="EL61" s="68" t="e">
        <f t="shared" si="128"/>
        <v>#DIV/0!</v>
      </c>
      <c r="EM61" s="68" t="e">
        <f t="shared" si="129"/>
        <v>#DIV/0!</v>
      </c>
      <c r="EN61" s="68" t="e">
        <f t="shared" si="130"/>
        <v>#DIV/0!</v>
      </c>
      <c r="EO61" s="68" t="e">
        <f t="shared" si="131"/>
        <v>#DIV/0!</v>
      </c>
      <c r="EP61" s="68" t="e">
        <f t="shared" si="132"/>
        <v>#DIV/0!</v>
      </c>
      <c r="EQ61" s="68" t="e">
        <f t="shared" si="133"/>
        <v>#DIV/0!</v>
      </c>
      <c r="ER61" s="68" t="e">
        <f t="shared" si="134"/>
        <v>#DIV/0!</v>
      </c>
    </row>
    <row r="62" spans="1:148" ht="13.8" thickBot="1" x14ac:dyDescent="0.3">
      <c r="A62" s="15"/>
      <c r="B62" s="16"/>
      <c r="C62" s="16"/>
      <c r="D62" s="16"/>
      <c r="E62" s="16"/>
      <c r="F62" s="114"/>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7"/>
      <c r="CD62" s="68" t="s">
        <v>569</v>
      </c>
      <c r="CE62" s="69">
        <f t="shared" si="72"/>
        <v>260330.3</v>
      </c>
      <c r="CF62" s="69">
        <f t="shared" si="73"/>
        <v>800803.59</v>
      </c>
      <c r="CG62" s="70">
        <f t="shared" si="71"/>
        <v>90</v>
      </c>
      <c r="CH62" s="69">
        <f t="shared" ref="CH62:CH106" si="135">IF(AND(G16="",H16="",I16=""),(CX9),G16)</f>
        <v>260330.30001199999</v>
      </c>
      <c r="CI62" s="69">
        <f t="shared" ref="CI62:CI106" si="136">IF(AND(G16="",H16="",I16=""),(CY9),H16)</f>
        <v>800803.59001599997</v>
      </c>
      <c r="CJ62" s="68">
        <f t="shared" si="74"/>
        <v>26.05841667</v>
      </c>
      <c r="CK62" s="68">
        <f t="shared" si="75"/>
        <v>80.134330559999995</v>
      </c>
      <c r="CL62" s="68">
        <f t="shared" si="76"/>
        <v>26.05841667</v>
      </c>
      <c r="CM62" s="68">
        <f t="shared" si="77"/>
        <v>80.134330559999995</v>
      </c>
      <c r="CN62" s="68">
        <f t="shared" si="78"/>
        <v>0</v>
      </c>
      <c r="CO62" s="68">
        <f t="shared" si="79"/>
        <v>0</v>
      </c>
      <c r="CP62" s="68">
        <f t="shared" si="80"/>
        <v>0.43928729614546391</v>
      </c>
      <c r="CQ62" s="68">
        <f t="shared" si="81"/>
        <v>1.0027157713556663</v>
      </c>
      <c r="CR62" s="68">
        <f t="shared" si="82"/>
        <v>0</v>
      </c>
      <c r="CS62" s="68">
        <f t="shared" si="83"/>
        <v>0.48899531699999998</v>
      </c>
      <c r="CT62" s="68">
        <f t="shared" si="84"/>
        <v>0.23911642</v>
      </c>
      <c r="CU62" s="68">
        <f t="shared" si="85"/>
        <v>0</v>
      </c>
      <c r="CV62" s="68">
        <f t="shared" si="86"/>
        <v>0</v>
      </c>
      <c r="CW62" s="68">
        <f t="shared" si="87"/>
        <v>0</v>
      </c>
      <c r="CX62" s="68">
        <f t="shared" si="88"/>
        <v>0</v>
      </c>
      <c r="CY62" s="68">
        <f t="shared" si="89"/>
        <v>0</v>
      </c>
      <c r="CZ62" s="68" t="e">
        <f t="shared" si="90"/>
        <v>#DIV/0!</v>
      </c>
      <c r="DA62" s="68" t="e">
        <f t="shared" si="91"/>
        <v>#DIV/0!</v>
      </c>
      <c r="DB62" s="68" t="e">
        <f t="shared" si="92"/>
        <v>#DIV/0!</v>
      </c>
      <c r="DC62" s="68" t="e">
        <f t="shared" si="93"/>
        <v>#DIV/0!</v>
      </c>
      <c r="DD62" s="68" t="e">
        <f t="shared" si="94"/>
        <v>#DIV/0!</v>
      </c>
      <c r="DE62" s="68" t="e">
        <f t="shared" si="95"/>
        <v>#DIV/0!</v>
      </c>
      <c r="DF62" s="68" t="e">
        <f t="shared" si="96"/>
        <v>#DIV/0!</v>
      </c>
      <c r="DG62" s="68">
        <f t="shared" si="97"/>
        <v>0.45480516874807669</v>
      </c>
      <c r="DH62" s="68">
        <f t="shared" si="98"/>
        <v>1.3986079121535113</v>
      </c>
      <c r="DI62" s="68">
        <f t="shared" si="99"/>
        <v>1.5707963267948966</v>
      </c>
      <c r="DJ62" s="68" t="e">
        <f t="shared" si="100"/>
        <v>#DIV/0!</v>
      </c>
      <c r="DK62" s="68" t="e">
        <f t="shared" si="101"/>
        <v>#DIV/0!</v>
      </c>
      <c r="DL62" s="68" t="e">
        <f t="shared" si="102"/>
        <v>#DIV/0!</v>
      </c>
      <c r="DM62" s="68" t="e">
        <f t="shared" si="103"/>
        <v>#DIV/0!</v>
      </c>
      <c r="DN62" s="68" t="e">
        <f t="shared" si="104"/>
        <v>#DIV/0!</v>
      </c>
      <c r="DO62" s="68" t="e">
        <f t="shared" si="105"/>
        <v>#DIV/0!</v>
      </c>
      <c r="DP62" s="68" t="e">
        <f t="shared" si="106"/>
        <v>#DIV/0!</v>
      </c>
      <c r="DQ62" s="68" t="e">
        <f t="shared" si="107"/>
        <v>#DIV/0!</v>
      </c>
      <c r="DR62" s="68" t="e">
        <f t="shared" si="108"/>
        <v>#DIV/0!</v>
      </c>
      <c r="DS62" s="68" t="e">
        <f t="shared" si="109"/>
        <v>#DIV/0!</v>
      </c>
      <c r="DT62" s="68" t="e">
        <f t="shared" si="110"/>
        <v>#DIV/0!</v>
      </c>
      <c r="DU62" s="68" t="e">
        <f t="shared" si="111"/>
        <v>#DIV/0!</v>
      </c>
      <c r="DV62" s="68" t="e">
        <f t="shared" si="112"/>
        <v>#DIV/0!</v>
      </c>
      <c r="DW62" s="68" t="e">
        <f t="shared" si="113"/>
        <v>#DIV/0!</v>
      </c>
      <c r="DX62" s="68">
        <f t="shared" si="114"/>
        <v>26.05841667</v>
      </c>
      <c r="DY62" s="68">
        <f t="shared" si="115"/>
        <v>80.134330559999995</v>
      </c>
      <c r="DZ62" s="68" t="e">
        <f t="shared" si="116"/>
        <v>#DIV/0!</v>
      </c>
      <c r="EA62" s="68" t="e">
        <f t="shared" si="117"/>
        <v>#DIV/0!</v>
      </c>
      <c r="EB62" s="68" t="e">
        <f t="shared" si="118"/>
        <v>#DIV/0!</v>
      </c>
      <c r="EC62" s="68" t="e">
        <f t="shared" si="119"/>
        <v>#DIV/0!</v>
      </c>
      <c r="ED62" s="68" t="e">
        <f t="shared" si="120"/>
        <v>#DIV/0!</v>
      </c>
      <c r="EE62" s="68" t="e">
        <f t="shared" si="121"/>
        <v>#DIV/0!</v>
      </c>
      <c r="EF62" s="68" t="e">
        <f t="shared" si="122"/>
        <v>#DIV/0!</v>
      </c>
      <c r="EG62" s="68" t="e">
        <f t="shared" si="123"/>
        <v>#DIV/0!</v>
      </c>
      <c r="EH62" s="68" t="e">
        <f t="shared" si="124"/>
        <v>#DIV/0!</v>
      </c>
      <c r="EI62" s="68" t="e">
        <f t="shared" si="125"/>
        <v>#DIV/0!</v>
      </c>
      <c r="EJ62" s="68" t="e">
        <f t="shared" si="126"/>
        <v>#DIV/0!</v>
      </c>
      <c r="EK62" s="68" t="e">
        <f t="shared" si="127"/>
        <v>#DIV/0!</v>
      </c>
      <c r="EL62" s="68" t="e">
        <f t="shared" si="128"/>
        <v>#DIV/0!</v>
      </c>
      <c r="EM62" s="68" t="e">
        <f t="shared" si="129"/>
        <v>#DIV/0!</v>
      </c>
      <c r="EN62" s="68" t="e">
        <f t="shared" si="130"/>
        <v>#DIV/0!</v>
      </c>
      <c r="EO62" s="68" t="e">
        <f t="shared" si="131"/>
        <v>#DIV/0!</v>
      </c>
      <c r="EP62" s="68" t="e">
        <f t="shared" si="132"/>
        <v>#DIV/0!</v>
      </c>
      <c r="EQ62" s="68" t="e">
        <f t="shared" si="133"/>
        <v>#DIV/0!</v>
      </c>
      <c r="ER62" s="68" t="e">
        <f t="shared" si="134"/>
        <v>#DIV/0!</v>
      </c>
    </row>
    <row r="63" spans="1:148" x14ac:dyDescent="0.25">
      <c r="CD63" s="68" t="s">
        <v>570</v>
      </c>
      <c r="CE63" s="69">
        <f t="shared" si="72"/>
        <v>260330.3</v>
      </c>
      <c r="CF63" s="69">
        <f t="shared" si="73"/>
        <v>800803.59</v>
      </c>
      <c r="CG63" s="70">
        <f t="shared" si="71"/>
        <v>90</v>
      </c>
      <c r="CH63" s="69">
        <f t="shared" si="135"/>
        <v>260330.30001199999</v>
      </c>
      <c r="CI63" s="69">
        <f t="shared" si="136"/>
        <v>800803.59001599997</v>
      </c>
      <c r="CJ63" s="68">
        <f t="shared" si="74"/>
        <v>26.05841667</v>
      </c>
      <c r="CK63" s="68">
        <f t="shared" si="75"/>
        <v>80.134330559999995</v>
      </c>
      <c r="CL63" s="68">
        <f t="shared" si="76"/>
        <v>26.05841667</v>
      </c>
      <c r="CM63" s="68">
        <f t="shared" si="77"/>
        <v>80.134330559999995</v>
      </c>
      <c r="CN63" s="68">
        <f t="shared" si="78"/>
        <v>0</v>
      </c>
      <c r="CO63" s="68">
        <f t="shared" si="79"/>
        <v>0</v>
      </c>
      <c r="CP63" s="68">
        <f t="shared" si="80"/>
        <v>0.43928729614546391</v>
      </c>
      <c r="CQ63" s="68">
        <f t="shared" si="81"/>
        <v>1.0027157713556663</v>
      </c>
      <c r="CR63" s="68">
        <f t="shared" si="82"/>
        <v>0</v>
      </c>
      <c r="CS63" s="68">
        <f t="shared" si="83"/>
        <v>0.48899531699999998</v>
      </c>
      <c r="CT63" s="68">
        <f t="shared" si="84"/>
        <v>0.23911642</v>
      </c>
      <c r="CU63" s="68">
        <f t="shared" si="85"/>
        <v>0</v>
      </c>
      <c r="CV63" s="68">
        <f t="shared" si="86"/>
        <v>0</v>
      </c>
      <c r="CW63" s="68">
        <f t="shared" si="87"/>
        <v>0</v>
      </c>
      <c r="CX63" s="68">
        <f t="shared" si="88"/>
        <v>0</v>
      </c>
      <c r="CY63" s="68">
        <f t="shared" si="89"/>
        <v>0</v>
      </c>
      <c r="CZ63" s="68" t="e">
        <f t="shared" si="90"/>
        <v>#DIV/0!</v>
      </c>
      <c r="DA63" s="68" t="e">
        <f t="shared" si="91"/>
        <v>#DIV/0!</v>
      </c>
      <c r="DB63" s="68" t="e">
        <f t="shared" si="92"/>
        <v>#DIV/0!</v>
      </c>
      <c r="DC63" s="68" t="e">
        <f t="shared" si="93"/>
        <v>#DIV/0!</v>
      </c>
      <c r="DD63" s="68" t="e">
        <f t="shared" si="94"/>
        <v>#DIV/0!</v>
      </c>
      <c r="DE63" s="68" t="e">
        <f t="shared" si="95"/>
        <v>#DIV/0!</v>
      </c>
      <c r="DF63" s="68" t="e">
        <f t="shared" si="96"/>
        <v>#DIV/0!</v>
      </c>
      <c r="DG63" s="68">
        <f t="shared" si="97"/>
        <v>0.45480516874807669</v>
      </c>
      <c r="DH63" s="68">
        <f t="shared" si="98"/>
        <v>1.3986079121535113</v>
      </c>
      <c r="DI63" s="68">
        <f t="shared" si="99"/>
        <v>1.5707963267948966</v>
      </c>
      <c r="DJ63" s="68" t="e">
        <f t="shared" si="100"/>
        <v>#DIV/0!</v>
      </c>
      <c r="DK63" s="68" t="e">
        <f t="shared" si="101"/>
        <v>#DIV/0!</v>
      </c>
      <c r="DL63" s="68" t="e">
        <f t="shared" si="102"/>
        <v>#DIV/0!</v>
      </c>
      <c r="DM63" s="68" t="e">
        <f t="shared" si="103"/>
        <v>#DIV/0!</v>
      </c>
      <c r="DN63" s="68" t="e">
        <f t="shared" si="104"/>
        <v>#DIV/0!</v>
      </c>
      <c r="DO63" s="68" t="e">
        <f t="shared" si="105"/>
        <v>#DIV/0!</v>
      </c>
      <c r="DP63" s="68" t="e">
        <f t="shared" si="106"/>
        <v>#DIV/0!</v>
      </c>
      <c r="DQ63" s="68" t="e">
        <f t="shared" si="107"/>
        <v>#DIV/0!</v>
      </c>
      <c r="DR63" s="68" t="e">
        <f t="shared" si="108"/>
        <v>#DIV/0!</v>
      </c>
      <c r="DS63" s="68" t="e">
        <f t="shared" si="109"/>
        <v>#DIV/0!</v>
      </c>
      <c r="DT63" s="68" t="e">
        <f t="shared" si="110"/>
        <v>#DIV/0!</v>
      </c>
      <c r="DU63" s="68" t="e">
        <f t="shared" si="111"/>
        <v>#DIV/0!</v>
      </c>
      <c r="DV63" s="68" t="e">
        <f t="shared" si="112"/>
        <v>#DIV/0!</v>
      </c>
      <c r="DW63" s="68" t="e">
        <f t="shared" si="113"/>
        <v>#DIV/0!</v>
      </c>
      <c r="DX63" s="68">
        <f t="shared" si="114"/>
        <v>26.05841667</v>
      </c>
      <c r="DY63" s="68">
        <f t="shared" si="115"/>
        <v>80.134330559999995</v>
      </c>
      <c r="DZ63" s="68" t="e">
        <f t="shared" si="116"/>
        <v>#DIV/0!</v>
      </c>
      <c r="EA63" s="68" t="e">
        <f t="shared" si="117"/>
        <v>#DIV/0!</v>
      </c>
      <c r="EB63" s="68" t="e">
        <f t="shared" si="118"/>
        <v>#DIV/0!</v>
      </c>
      <c r="EC63" s="68" t="e">
        <f t="shared" si="119"/>
        <v>#DIV/0!</v>
      </c>
      <c r="ED63" s="68" t="e">
        <f t="shared" si="120"/>
        <v>#DIV/0!</v>
      </c>
      <c r="EE63" s="68" t="e">
        <f t="shared" si="121"/>
        <v>#DIV/0!</v>
      </c>
      <c r="EF63" s="68" t="e">
        <f t="shared" si="122"/>
        <v>#DIV/0!</v>
      </c>
      <c r="EG63" s="68" t="e">
        <f t="shared" si="123"/>
        <v>#DIV/0!</v>
      </c>
      <c r="EH63" s="68" t="e">
        <f t="shared" si="124"/>
        <v>#DIV/0!</v>
      </c>
      <c r="EI63" s="68" t="e">
        <f t="shared" si="125"/>
        <v>#DIV/0!</v>
      </c>
      <c r="EJ63" s="68" t="e">
        <f t="shared" si="126"/>
        <v>#DIV/0!</v>
      </c>
      <c r="EK63" s="68" t="e">
        <f t="shared" si="127"/>
        <v>#DIV/0!</v>
      </c>
      <c r="EL63" s="68" t="e">
        <f t="shared" si="128"/>
        <v>#DIV/0!</v>
      </c>
      <c r="EM63" s="68" t="e">
        <f t="shared" si="129"/>
        <v>#DIV/0!</v>
      </c>
      <c r="EN63" s="68" t="e">
        <f t="shared" si="130"/>
        <v>#DIV/0!</v>
      </c>
      <c r="EO63" s="68" t="e">
        <f t="shared" si="131"/>
        <v>#DIV/0!</v>
      </c>
      <c r="EP63" s="68" t="e">
        <f t="shared" si="132"/>
        <v>#DIV/0!</v>
      </c>
      <c r="EQ63" s="68" t="e">
        <f t="shared" si="133"/>
        <v>#DIV/0!</v>
      </c>
      <c r="ER63" s="68" t="e">
        <f t="shared" si="134"/>
        <v>#DIV/0!</v>
      </c>
    </row>
    <row r="64" spans="1:148" x14ac:dyDescent="0.25">
      <c r="CD64" s="68" t="s">
        <v>571</v>
      </c>
      <c r="CE64" s="69">
        <f t="shared" si="72"/>
        <v>260330.3</v>
      </c>
      <c r="CF64" s="69">
        <f t="shared" si="73"/>
        <v>800803.59</v>
      </c>
      <c r="CG64" s="70">
        <f t="shared" si="71"/>
        <v>90</v>
      </c>
      <c r="CH64" s="69">
        <f t="shared" si="135"/>
        <v>260330.30001199999</v>
      </c>
      <c r="CI64" s="69">
        <f t="shared" si="136"/>
        <v>800803.59001599997</v>
      </c>
      <c r="CJ64" s="68">
        <f t="shared" si="74"/>
        <v>26.05841667</v>
      </c>
      <c r="CK64" s="68">
        <f t="shared" si="75"/>
        <v>80.134330559999995</v>
      </c>
      <c r="CL64" s="68">
        <f t="shared" si="76"/>
        <v>26.05841667</v>
      </c>
      <c r="CM64" s="68">
        <f t="shared" si="77"/>
        <v>80.134330559999995</v>
      </c>
      <c r="CN64" s="68">
        <f t="shared" si="78"/>
        <v>0</v>
      </c>
      <c r="CO64" s="68">
        <f t="shared" si="79"/>
        <v>0</v>
      </c>
      <c r="CP64" s="68">
        <f t="shared" si="80"/>
        <v>0.43928729614546391</v>
      </c>
      <c r="CQ64" s="68">
        <f t="shared" si="81"/>
        <v>1.0027157713556663</v>
      </c>
      <c r="CR64" s="68">
        <f t="shared" si="82"/>
        <v>0</v>
      </c>
      <c r="CS64" s="68">
        <f t="shared" si="83"/>
        <v>0.48899531699999998</v>
      </c>
      <c r="CT64" s="68">
        <f t="shared" si="84"/>
        <v>0.23911642</v>
      </c>
      <c r="CU64" s="68">
        <f t="shared" si="85"/>
        <v>0</v>
      </c>
      <c r="CV64" s="68">
        <f t="shared" si="86"/>
        <v>0</v>
      </c>
      <c r="CW64" s="68">
        <f t="shared" si="87"/>
        <v>0</v>
      </c>
      <c r="CX64" s="68">
        <f t="shared" si="88"/>
        <v>0</v>
      </c>
      <c r="CY64" s="68">
        <f t="shared" si="89"/>
        <v>0</v>
      </c>
      <c r="CZ64" s="68" t="e">
        <f t="shared" si="90"/>
        <v>#DIV/0!</v>
      </c>
      <c r="DA64" s="68" t="e">
        <f t="shared" si="91"/>
        <v>#DIV/0!</v>
      </c>
      <c r="DB64" s="68" t="e">
        <f t="shared" si="92"/>
        <v>#DIV/0!</v>
      </c>
      <c r="DC64" s="68" t="e">
        <f t="shared" si="93"/>
        <v>#DIV/0!</v>
      </c>
      <c r="DD64" s="68" t="e">
        <f t="shared" si="94"/>
        <v>#DIV/0!</v>
      </c>
      <c r="DE64" s="68" t="e">
        <f t="shared" si="95"/>
        <v>#DIV/0!</v>
      </c>
      <c r="DF64" s="68" t="e">
        <f t="shared" si="96"/>
        <v>#DIV/0!</v>
      </c>
      <c r="DG64" s="68">
        <f t="shared" si="97"/>
        <v>0.45480516874807669</v>
      </c>
      <c r="DH64" s="68">
        <f t="shared" si="98"/>
        <v>1.3986079121535113</v>
      </c>
      <c r="DI64" s="68">
        <f t="shared" si="99"/>
        <v>1.5707963267948966</v>
      </c>
      <c r="DJ64" s="68" t="e">
        <f t="shared" si="100"/>
        <v>#DIV/0!</v>
      </c>
      <c r="DK64" s="68" t="e">
        <f t="shared" si="101"/>
        <v>#DIV/0!</v>
      </c>
      <c r="DL64" s="68" t="e">
        <f t="shared" si="102"/>
        <v>#DIV/0!</v>
      </c>
      <c r="DM64" s="68" t="e">
        <f t="shared" si="103"/>
        <v>#DIV/0!</v>
      </c>
      <c r="DN64" s="68" t="e">
        <f t="shared" si="104"/>
        <v>#DIV/0!</v>
      </c>
      <c r="DO64" s="68" t="e">
        <f t="shared" si="105"/>
        <v>#DIV/0!</v>
      </c>
      <c r="DP64" s="68" t="e">
        <f t="shared" si="106"/>
        <v>#DIV/0!</v>
      </c>
      <c r="DQ64" s="68" t="e">
        <f t="shared" si="107"/>
        <v>#DIV/0!</v>
      </c>
      <c r="DR64" s="68" t="e">
        <f t="shared" si="108"/>
        <v>#DIV/0!</v>
      </c>
      <c r="DS64" s="68" t="e">
        <f t="shared" si="109"/>
        <v>#DIV/0!</v>
      </c>
      <c r="DT64" s="68" t="e">
        <f t="shared" si="110"/>
        <v>#DIV/0!</v>
      </c>
      <c r="DU64" s="68" t="e">
        <f t="shared" si="111"/>
        <v>#DIV/0!</v>
      </c>
      <c r="DV64" s="68" t="e">
        <f t="shared" si="112"/>
        <v>#DIV/0!</v>
      </c>
      <c r="DW64" s="68" t="e">
        <f t="shared" si="113"/>
        <v>#DIV/0!</v>
      </c>
      <c r="DX64" s="68">
        <f t="shared" si="114"/>
        <v>26.05841667</v>
      </c>
      <c r="DY64" s="68">
        <f t="shared" si="115"/>
        <v>80.134330559999995</v>
      </c>
      <c r="DZ64" s="68" t="e">
        <f t="shared" si="116"/>
        <v>#DIV/0!</v>
      </c>
      <c r="EA64" s="68" t="e">
        <f t="shared" si="117"/>
        <v>#DIV/0!</v>
      </c>
      <c r="EB64" s="68" t="e">
        <f t="shared" si="118"/>
        <v>#DIV/0!</v>
      </c>
      <c r="EC64" s="68" t="e">
        <f t="shared" si="119"/>
        <v>#DIV/0!</v>
      </c>
      <c r="ED64" s="68" t="e">
        <f t="shared" si="120"/>
        <v>#DIV/0!</v>
      </c>
      <c r="EE64" s="68" t="e">
        <f t="shared" si="121"/>
        <v>#DIV/0!</v>
      </c>
      <c r="EF64" s="68" t="e">
        <f t="shared" si="122"/>
        <v>#DIV/0!</v>
      </c>
      <c r="EG64" s="68" t="e">
        <f t="shared" si="123"/>
        <v>#DIV/0!</v>
      </c>
      <c r="EH64" s="68" t="e">
        <f t="shared" si="124"/>
        <v>#DIV/0!</v>
      </c>
      <c r="EI64" s="68" t="e">
        <f t="shared" si="125"/>
        <v>#DIV/0!</v>
      </c>
      <c r="EJ64" s="68" t="e">
        <f t="shared" si="126"/>
        <v>#DIV/0!</v>
      </c>
      <c r="EK64" s="68" t="e">
        <f t="shared" si="127"/>
        <v>#DIV/0!</v>
      </c>
      <c r="EL64" s="68" t="e">
        <f t="shared" si="128"/>
        <v>#DIV/0!</v>
      </c>
      <c r="EM64" s="68" t="e">
        <f t="shared" si="129"/>
        <v>#DIV/0!</v>
      </c>
      <c r="EN64" s="68" t="e">
        <f t="shared" si="130"/>
        <v>#DIV/0!</v>
      </c>
      <c r="EO64" s="68" t="e">
        <f t="shared" si="131"/>
        <v>#DIV/0!</v>
      </c>
      <c r="EP64" s="68" t="e">
        <f t="shared" si="132"/>
        <v>#DIV/0!</v>
      </c>
      <c r="EQ64" s="68" t="e">
        <f t="shared" si="133"/>
        <v>#DIV/0!</v>
      </c>
      <c r="ER64" s="68" t="e">
        <f t="shared" si="134"/>
        <v>#DIV/0!</v>
      </c>
    </row>
    <row r="65" spans="82:148" x14ac:dyDescent="0.25">
      <c r="CD65" s="68" t="s">
        <v>572</v>
      </c>
      <c r="CE65" s="69">
        <f t="shared" si="72"/>
        <v>260330.3</v>
      </c>
      <c r="CF65" s="69">
        <f t="shared" si="73"/>
        <v>800803.59</v>
      </c>
      <c r="CG65" s="70">
        <f t="shared" si="71"/>
        <v>90</v>
      </c>
      <c r="CH65" s="69">
        <f t="shared" si="135"/>
        <v>260330.30001199999</v>
      </c>
      <c r="CI65" s="69">
        <f t="shared" si="136"/>
        <v>800803.59001599997</v>
      </c>
      <c r="CJ65" s="68">
        <f t="shared" si="74"/>
        <v>26.05841667</v>
      </c>
      <c r="CK65" s="68">
        <f t="shared" si="75"/>
        <v>80.134330559999995</v>
      </c>
      <c r="CL65" s="68">
        <f t="shared" si="76"/>
        <v>26.05841667</v>
      </c>
      <c r="CM65" s="68">
        <f t="shared" si="77"/>
        <v>80.134330559999995</v>
      </c>
      <c r="CN65" s="68">
        <f t="shared" si="78"/>
        <v>0</v>
      </c>
      <c r="CO65" s="68">
        <f t="shared" si="79"/>
        <v>0</v>
      </c>
      <c r="CP65" s="68">
        <f t="shared" si="80"/>
        <v>0.43928729614546391</v>
      </c>
      <c r="CQ65" s="68">
        <f t="shared" si="81"/>
        <v>1.0027157713556663</v>
      </c>
      <c r="CR65" s="68">
        <f t="shared" si="82"/>
        <v>0</v>
      </c>
      <c r="CS65" s="68">
        <f t="shared" si="83"/>
        <v>0.48899531699999998</v>
      </c>
      <c r="CT65" s="68">
        <f t="shared" si="84"/>
        <v>0.23911642</v>
      </c>
      <c r="CU65" s="68">
        <f t="shared" si="85"/>
        <v>0</v>
      </c>
      <c r="CV65" s="68">
        <f t="shared" si="86"/>
        <v>0</v>
      </c>
      <c r="CW65" s="68">
        <f t="shared" si="87"/>
        <v>0</v>
      </c>
      <c r="CX65" s="68">
        <f t="shared" si="88"/>
        <v>0</v>
      </c>
      <c r="CY65" s="68">
        <f t="shared" si="89"/>
        <v>0</v>
      </c>
      <c r="CZ65" s="68" t="e">
        <f t="shared" si="90"/>
        <v>#DIV/0!</v>
      </c>
      <c r="DA65" s="68" t="e">
        <f t="shared" si="91"/>
        <v>#DIV/0!</v>
      </c>
      <c r="DB65" s="68" t="e">
        <f t="shared" si="92"/>
        <v>#DIV/0!</v>
      </c>
      <c r="DC65" s="68" t="e">
        <f t="shared" si="93"/>
        <v>#DIV/0!</v>
      </c>
      <c r="DD65" s="68" t="e">
        <f t="shared" si="94"/>
        <v>#DIV/0!</v>
      </c>
      <c r="DE65" s="68" t="e">
        <f t="shared" si="95"/>
        <v>#DIV/0!</v>
      </c>
      <c r="DF65" s="68" t="e">
        <f t="shared" si="96"/>
        <v>#DIV/0!</v>
      </c>
      <c r="DG65" s="68">
        <f t="shared" si="97"/>
        <v>0.45480516874807669</v>
      </c>
      <c r="DH65" s="68">
        <f t="shared" si="98"/>
        <v>1.3986079121535113</v>
      </c>
      <c r="DI65" s="68">
        <f t="shared" si="99"/>
        <v>1.5707963267948966</v>
      </c>
      <c r="DJ65" s="68" t="e">
        <f t="shared" si="100"/>
        <v>#DIV/0!</v>
      </c>
      <c r="DK65" s="68" t="e">
        <f t="shared" si="101"/>
        <v>#DIV/0!</v>
      </c>
      <c r="DL65" s="68" t="e">
        <f t="shared" si="102"/>
        <v>#DIV/0!</v>
      </c>
      <c r="DM65" s="68" t="e">
        <f t="shared" si="103"/>
        <v>#DIV/0!</v>
      </c>
      <c r="DN65" s="68" t="e">
        <f t="shared" si="104"/>
        <v>#DIV/0!</v>
      </c>
      <c r="DO65" s="68" t="e">
        <f t="shared" si="105"/>
        <v>#DIV/0!</v>
      </c>
      <c r="DP65" s="68" t="e">
        <f t="shared" si="106"/>
        <v>#DIV/0!</v>
      </c>
      <c r="DQ65" s="68" t="e">
        <f t="shared" si="107"/>
        <v>#DIV/0!</v>
      </c>
      <c r="DR65" s="68" t="e">
        <f t="shared" si="108"/>
        <v>#DIV/0!</v>
      </c>
      <c r="DS65" s="68" t="e">
        <f t="shared" si="109"/>
        <v>#DIV/0!</v>
      </c>
      <c r="DT65" s="68" t="e">
        <f t="shared" si="110"/>
        <v>#DIV/0!</v>
      </c>
      <c r="DU65" s="68" t="e">
        <f t="shared" si="111"/>
        <v>#DIV/0!</v>
      </c>
      <c r="DV65" s="68" t="e">
        <f t="shared" si="112"/>
        <v>#DIV/0!</v>
      </c>
      <c r="DW65" s="68" t="e">
        <f t="shared" si="113"/>
        <v>#DIV/0!</v>
      </c>
      <c r="DX65" s="68">
        <f t="shared" si="114"/>
        <v>26.05841667</v>
      </c>
      <c r="DY65" s="68">
        <f t="shared" si="115"/>
        <v>80.134330559999995</v>
      </c>
      <c r="DZ65" s="68" t="e">
        <f t="shared" si="116"/>
        <v>#DIV/0!</v>
      </c>
      <c r="EA65" s="68" t="e">
        <f t="shared" si="117"/>
        <v>#DIV/0!</v>
      </c>
      <c r="EB65" s="68" t="e">
        <f t="shared" si="118"/>
        <v>#DIV/0!</v>
      </c>
      <c r="EC65" s="68" t="e">
        <f t="shared" si="119"/>
        <v>#DIV/0!</v>
      </c>
      <c r="ED65" s="68" t="e">
        <f t="shared" si="120"/>
        <v>#DIV/0!</v>
      </c>
      <c r="EE65" s="68" t="e">
        <f t="shared" si="121"/>
        <v>#DIV/0!</v>
      </c>
      <c r="EF65" s="68" t="e">
        <f t="shared" si="122"/>
        <v>#DIV/0!</v>
      </c>
      <c r="EG65" s="68" t="e">
        <f t="shared" si="123"/>
        <v>#DIV/0!</v>
      </c>
      <c r="EH65" s="68" t="e">
        <f t="shared" si="124"/>
        <v>#DIV/0!</v>
      </c>
      <c r="EI65" s="68" t="e">
        <f t="shared" si="125"/>
        <v>#DIV/0!</v>
      </c>
      <c r="EJ65" s="68" t="e">
        <f t="shared" si="126"/>
        <v>#DIV/0!</v>
      </c>
      <c r="EK65" s="68" t="e">
        <f t="shared" si="127"/>
        <v>#DIV/0!</v>
      </c>
      <c r="EL65" s="68" t="e">
        <f t="shared" si="128"/>
        <v>#DIV/0!</v>
      </c>
      <c r="EM65" s="68" t="e">
        <f t="shared" si="129"/>
        <v>#DIV/0!</v>
      </c>
      <c r="EN65" s="68" t="e">
        <f t="shared" si="130"/>
        <v>#DIV/0!</v>
      </c>
      <c r="EO65" s="68" t="e">
        <f t="shared" si="131"/>
        <v>#DIV/0!</v>
      </c>
      <c r="EP65" s="68" t="e">
        <f t="shared" si="132"/>
        <v>#DIV/0!</v>
      </c>
      <c r="EQ65" s="68" t="e">
        <f t="shared" si="133"/>
        <v>#DIV/0!</v>
      </c>
      <c r="ER65" s="68" t="e">
        <f t="shared" si="134"/>
        <v>#DIV/0!</v>
      </c>
    </row>
    <row r="66" spans="82:148" x14ac:dyDescent="0.25">
      <c r="CD66" s="68" t="s">
        <v>573</v>
      </c>
      <c r="CE66" s="69">
        <f t="shared" si="72"/>
        <v>260330.3</v>
      </c>
      <c r="CF66" s="69">
        <f t="shared" si="73"/>
        <v>800803.59</v>
      </c>
      <c r="CG66" s="70">
        <f t="shared" si="71"/>
        <v>90</v>
      </c>
      <c r="CH66" s="69">
        <f t="shared" si="135"/>
        <v>260330.30001199999</v>
      </c>
      <c r="CI66" s="69">
        <f t="shared" si="136"/>
        <v>800803.59001599997</v>
      </c>
      <c r="CJ66" s="68">
        <f t="shared" si="74"/>
        <v>26.05841667</v>
      </c>
      <c r="CK66" s="68">
        <f t="shared" si="75"/>
        <v>80.134330559999995</v>
      </c>
      <c r="CL66" s="68">
        <f t="shared" si="76"/>
        <v>26.05841667</v>
      </c>
      <c r="CM66" s="68">
        <f t="shared" si="77"/>
        <v>80.134330559999995</v>
      </c>
      <c r="CN66" s="68">
        <f t="shared" si="78"/>
        <v>0</v>
      </c>
      <c r="CO66" s="68">
        <f t="shared" si="79"/>
        <v>0</v>
      </c>
      <c r="CP66" s="68">
        <f t="shared" si="80"/>
        <v>0.43928729614546391</v>
      </c>
      <c r="CQ66" s="68">
        <f t="shared" si="81"/>
        <v>1.0027157713556663</v>
      </c>
      <c r="CR66" s="68">
        <f t="shared" si="82"/>
        <v>0</v>
      </c>
      <c r="CS66" s="68">
        <f t="shared" si="83"/>
        <v>0.48899531699999998</v>
      </c>
      <c r="CT66" s="68">
        <f t="shared" si="84"/>
        <v>0.23911642</v>
      </c>
      <c r="CU66" s="68">
        <f t="shared" si="85"/>
        <v>0</v>
      </c>
      <c r="CV66" s="68">
        <f t="shared" si="86"/>
        <v>0</v>
      </c>
      <c r="CW66" s="68">
        <f t="shared" si="87"/>
        <v>0</v>
      </c>
      <c r="CX66" s="68">
        <f t="shared" si="88"/>
        <v>0</v>
      </c>
      <c r="CY66" s="68">
        <f t="shared" si="89"/>
        <v>0</v>
      </c>
      <c r="CZ66" s="68" t="e">
        <f t="shared" si="90"/>
        <v>#DIV/0!</v>
      </c>
      <c r="DA66" s="68" t="e">
        <f t="shared" si="91"/>
        <v>#DIV/0!</v>
      </c>
      <c r="DB66" s="68" t="e">
        <f t="shared" si="92"/>
        <v>#DIV/0!</v>
      </c>
      <c r="DC66" s="68" t="e">
        <f t="shared" si="93"/>
        <v>#DIV/0!</v>
      </c>
      <c r="DD66" s="68" t="e">
        <f t="shared" si="94"/>
        <v>#DIV/0!</v>
      </c>
      <c r="DE66" s="68" t="e">
        <f t="shared" si="95"/>
        <v>#DIV/0!</v>
      </c>
      <c r="DF66" s="68" t="e">
        <f t="shared" si="96"/>
        <v>#DIV/0!</v>
      </c>
      <c r="DG66" s="68">
        <f t="shared" si="97"/>
        <v>0.45480516874807669</v>
      </c>
      <c r="DH66" s="68">
        <f t="shared" si="98"/>
        <v>1.3986079121535113</v>
      </c>
      <c r="DI66" s="68">
        <f t="shared" si="99"/>
        <v>1.5707963267948966</v>
      </c>
      <c r="DJ66" s="68" t="e">
        <f t="shared" si="100"/>
        <v>#DIV/0!</v>
      </c>
      <c r="DK66" s="68" t="e">
        <f t="shared" si="101"/>
        <v>#DIV/0!</v>
      </c>
      <c r="DL66" s="68" t="e">
        <f t="shared" si="102"/>
        <v>#DIV/0!</v>
      </c>
      <c r="DM66" s="68" t="e">
        <f t="shared" si="103"/>
        <v>#DIV/0!</v>
      </c>
      <c r="DN66" s="68" t="e">
        <f t="shared" si="104"/>
        <v>#DIV/0!</v>
      </c>
      <c r="DO66" s="68" t="e">
        <f t="shared" si="105"/>
        <v>#DIV/0!</v>
      </c>
      <c r="DP66" s="68" t="e">
        <f t="shared" si="106"/>
        <v>#DIV/0!</v>
      </c>
      <c r="DQ66" s="68" t="e">
        <f t="shared" si="107"/>
        <v>#DIV/0!</v>
      </c>
      <c r="DR66" s="68" t="e">
        <f t="shared" si="108"/>
        <v>#DIV/0!</v>
      </c>
      <c r="DS66" s="68" t="e">
        <f t="shared" si="109"/>
        <v>#DIV/0!</v>
      </c>
      <c r="DT66" s="68" t="e">
        <f t="shared" si="110"/>
        <v>#DIV/0!</v>
      </c>
      <c r="DU66" s="68" t="e">
        <f t="shared" si="111"/>
        <v>#DIV/0!</v>
      </c>
      <c r="DV66" s="68" t="e">
        <f t="shared" si="112"/>
        <v>#DIV/0!</v>
      </c>
      <c r="DW66" s="68" t="e">
        <f t="shared" si="113"/>
        <v>#DIV/0!</v>
      </c>
      <c r="DX66" s="68">
        <f t="shared" si="114"/>
        <v>26.05841667</v>
      </c>
      <c r="DY66" s="68">
        <f t="shared" si="115"/>
        <v>80.134330559999995</v>
      </c>
      <c r="DZ66" s="68" t="e">
        <f t="shared" si="116"/>
        <v>#DIV/0!</v>
      </c>
      <c r="EA66" s="68" t="e">
        <f t="shared" si="117"/>
        <v>#DIV/0!</v>
      </c>
      <c r="EB66" s="68" t="e">
        <f t="shared" si="118"/>
        <v>#DIV/0!</v>
      </c>
      <c r="EC66" s="68" t="e">
        <f t="shared" si="119"/>
        <v>#DIV/0!</v>
      </c>
      <c r="ED66" s="68" t="e">
        <f t="shared" si="120"/>
        <v>#DIV/0!</v>
      </c>
      <c r="EE66" s="68" t="e">
        <f t="shared" si="121"/>
        <v>#DIV/0!</v>
      </c>
      <c r="EF66" s="68" t="e">
        <f t="shared" si="122"/>
        <v>#DIV/0!</v>
      </c>
      <c r="EG66" s="68" t="e">
        <f t="shared" si="123"/>
        <v>#DIV/0!</v>
      </c>
      <c r="EH66" s="68" t="e">
        <f t="shared" si="124"/>
        <v>#DIV/0!</v>
      </c>
      <c r="EI66" s="68" t="e">
        <f t="shared" si="125"/>
        <v>#DIV/0!</v>
      </c>
      <c r="EJ66" s="68" t="e">
        <f t="shared" si="126"/>
        <v>#DIV/0!</v>
      </c>
      <c r="EK66" s="68" t="e">
        <f t="shared" si="127"/>
        <v>#DIV/0!</v>
      </c>
      <c r="EL66" s="68" t="e">
        <f t="shared" si="128"/>
        <v>#DIV/0!</v>
      </c>
      <c r="EM66" s="68" t="e">
        <f t="shared" si="129"/>
        <v>#DIV/0!</v>
      </c>
      <c r="EN66" s="68" t="e">
        <f t="shared" si="130"/>
        <v>#DIV/0!</v>
      </c>
      <c r="EO66" s="68" t="e">
        <f t="shared" si="131"/>
        <v>#DIV/0!</v>
      </c>
      <c r="EP66" s="68" t="e">
        <f t="shared" si="132"/>
        <v>#DIV/0!</v>
      </c>
      <c r="EQ66" s="68" t="e">
        <f t="shared" si="133"/>
        <v>#DIV/0!</v>
      </c>
      <c r="ER66" s="68" t="e">
        <f t="shared" si="134"/>
        <v>#DIV/0!</v>
      </c>
    </row>
    <row r="67" spans="82:148" x14ac:dyDescent="0.25">
      <c r="CD67" s="68" t="s">
        <v>574</v>
      </c>
      <c r="CE67" s="69">
        <f t="shared" si="72"/>
        <v>260330.3</v>
      </c>
      <c r="CF67" s="69">
        <f t="shared" si="73"/>
        <v>800803.59</v>
      </c>
      <c r="CG67" s="70">
        <f t="shared" si="71"/>
        <v>90</v>
      </c>
      <c r="CH67" s="69">
        <f t="shared" si="135"/>
        <v>260330.30001199999</v>
      </c>
      <c r="CI67" s="69">
        <f t="shared" si="136"/>
        <v>800803.59001599997</v>
      </c>
      <c r="CJ67" s="68">
        <f t="shared" si="74"/>
        <v>26.05841667</v>
      </c>
      <c r="CK67" s="68">
        <f t="shared" si="75"/>
        <v>80.134330559999995</v>
      </c>
      <c r="CL67" s="68">
        <f t="shared" si="76"/>
        <v>26.05841667</v>
      </c>
      <c r="CM67" s="68">
        <f t="shared" si="77"/>
        <v>80.134330559999995</v>
      </c>
      <c r="CN67" s="68">
        <f t="shared" si="78"/>
        <v>0</v>
      </c>
      <c r="CO67" s="68">
        <f t="shared" si="79"/>
        <v>0</v>
      </c>
      <c r="CP67" s="68">
        <f t="shared" si="80"/>
        <v>0.43928729614546391</v>
      </c>
      <c r="CQ67" s="68">
        <f t="shared" si="81"/>
        <v>1.0027157713556663</v>
      </c>
      <c r="CR67" s="68">
        <f t="shared" si="82"/>
        <v>0</v>
      </c>
      <c r="CS67" s="68">
        <f t="shared" si="83"/>
        <v>0.48899531699999998</v>
      </c>
      <c r="CT67" s="68">
        <f t="shared" si="84"/>
        <v>0.23911642</v>
      </c>
      <c r="CU67" s="68">
        <f t="shared" si="85"/>
        <v>0</v>
      </c>
      <c r="CV67" s="68">
        <f t="shared" si="86"/>
        <v>0</v>
      </c>
      <c r="CW67" s="68">
        <f t="shared" si="87"/>
        <v>0</v>
      </c>
      <c r="CX67" s="68">
        <f t="shared" si="88"/>
        <v>0</v>
      </c>
      <c r="CY67" s="68">
        <f t="shared" si="89"/>
        <v>0</v>
      </c>
      <c r="CZ67" s="68" t="e">
        <f t="shared" si="90"/>
        <v>#DIV/0!</v>
      </c>
      <c r="DA67" s="68" t="e">
        <f t="shared" si="91"/>
        <v>#DIV/0!</v>
      </c>
      <c r="DB67" s="68" t="e">
        <f t="shared" si="92"/>
        <v>#DIV/0!</v>
      </c>
      <c r="DC67" s="68" t="e">
        <f t="shared" si="93"/>
        <v>#DIV/0!</v>
      </c>
      <c r="DD67" s="68" t="e">
        <f t="shared" si="94"/>
        <v>#DIV/0!</v>
      </c>
      <c r="DE67" s="68" t="e">
        <f t="shared" si="95"/>
        <v>#DIV/0!</v>
      </c>
      <c r="DF67" s="68" t="e">
        <f t="shared" si="96"/>
        <v>#DIV/0!</v>
      </c>
      <c r="DG67" s="68">
        <f t="shared" si="97"/>
        <v>0.45480516874807669</v>
      </c>
      <c r="DH67" s="68">
        <f t="shared" si="98"/>
        <v>1.3986079121535113</v>
      </c>
      <c r="DI67" s="68">
        <f t="shared" si="99"/>
        <v>1.5707963267948966</v>
      </c>
      <c r="DJ67" s="68" t="e">
        <f t="shared" si="100"/>
        <v>#DIV/0!</v>
      </c>
      <c r="DK67" s="68" t="e">
        <f t="shared" si="101"/>
        <v>#DIV/0!</v>
      </c>
      <c r="DL67" s="68" t="e">
        <f t="shared" si="102"/>
        <v>#DIV/0!</v>
      </c>
      <c r="DM67" s="68" t="e">
        <f t="shared" si="103"/>
        <v>#DIV/0!</v>
      </c>
      <c r="DN67" s="68" t="e">
        <f t="shared" si="104"/>
        <v>#DIV/0!</v>
      </c>
      <c r="DO67" s="68" t="e">
        <f t="shared" si="105"/>
        <v>#DIV/0!</v>
      </c>
      <c r="DP67" s="68" t="e">
        <f t="shared" si="106"/>
        <v>#DIV/0!</v>
      </c>
      <c r="DQ67" s="68" t="e">
        <f t="shared" si="107"/>
        <v>#DIV/0!</v>
      </c>
      <c r="DR67" s="68" t="e">
        <f t="shared" si="108"/>
        <v>#DIV/0!</v>
      </c>
      <c r="DS67" s="68" t="e">
        <f t="shared" si="109"/>
        <v>#DIV/0!</v>
      </c>
      <c r="DT67" s="68" t="e">
        <f t="shared" si="110"/>
        <v>#DIV/0!</v>
      </c>
      <c r="DU67" s="68" t="e">
        <f t="shared" si="111"/>
        <v>#DIV/0!</v>
      </c>
      <c r="DV67" s="68" t="e">
        <f t="shared" si="112"/>
        <v>#DIV/0!</v>
      </c>
      <c r="DW67" s="68" t="e">
        <f t="shared" si="113"/>
        <v>#DIV/0!</v>
      </c>
      <c r="DX67" s="68">
        <f t="shared" si="114"/>
        <v>26.05841667</v>
      </c>
      <c r="DY67" s="68">
        <f t="shared" si="115"/>
        <v>80.134330559999995</v>
      </c>
      <c r="DZ67" s="68" t="e">
        <f t="shared" si="116"/>
        <v>#DIV/0!</v>
      </c>
      <c r="EA67" s="68" t="e">
        <f t="shared" si="117"/>
        <v>#DIV/0!</v>
      </c>
      <c r="EB67" s="68" t="e">
        <f t="shared" si="118"/>
        <v>#DIV/0!</v>
      </c>
      <c r="EC67" s="68" t="e">
        <f t="shared" si="119"/>
        <v>#DIV/0!</v>
      </c>
      <c r="ED67" s="68" t="e">
        <f t="shared" si="120"/>
        <v>#DIV/0!</v>
      </c>
      <c r="EE67" s="68" t="e">
        <f t="shared" si="121"/>
        <v>#DIV/0!</v>
      </c>
      <c r="EF67" s="68" t="e">
        <f t="shared" si="122"/>
        <v>#DIV/0!</v>
      </c>
      <c r="EG67" s="68" t="e">
        <f t="shared" si="123"/>
        <v>#DIV/0!</v>
      </c>
      <c r="EH67" s="68" t="e">
        <f t="shared" si="124"/>
        <v>#DIV/0!</v>
      </c>
      <c r="EI67" s="68" t="e">
        <f t="shared" si="125"/>
        <v>#DIV/0!</v>
      </c>
      <c r="EJ67" s="68" t="e">
        <f t="shared" si="126"/>
        <v>#DIV/0!</v>
      </c>
      <c r="EK67" s="68" t="e">
        <f t="shared" si="127"/>
        <v>#DIV/0!</v>
      </c>
      <c r="EL67" s="68" t="e">
        <f t="shared" si="128"/>
        <v>#DIV/0!</v>
      </c>
      <c r="EM67" s="68" t="e">
        <f t="shared" si="129"/>
        <v>#DIV/0!</v>
      </c>
      <c r="EN67" s="68" t="e">
        <f t="shared" si="130"/>
        <v>#DIV/0!</v>
      </c>
      <c r="EO67" s="68" t="e">
        <f t="shared" si="131"/>
        <v>#DIV/0!</v>
      </c>
      <c r="EP67" s="68" t="e">
        <f t="shared" si="132"/>
        <v>#DIV/0!</v>
      </c>
      <c r="EQ67" s="68" t="e">
        <f t="shared" si="133"/>
        <v>#DIV/0!</v>
      </c>
      <c r="ER67" s="68" t="e">
        <f t="shared" si="134"/>
        <v>#DIV/0!</v>
      </c>
    </row>
    <row r="68" spans="82:148" x14ac:dyDescent="0.25">
      <c r="CD68" s="68" t="s">
        <v>575</v>
      </c>
      <c r="CE68" s="69">
        <f t="shared" si="72"/>
        <v>260330.3</v>
      </c>
      <c r="CF68" s="69">
        <f t="shared" si="73"/>
        <v>800803.59</v>
      </c>
      <c r="CG68" s="70">
        <f t="shared" si="71"/>
        <v>90</v>
      </c>
      <c r="CH68" s="69">
        <f t="shared" si="135"/>
        <v>260330.30001199999</v>
      </c>
      <c r="CI68" s="69">
        <f t="shared" si="136"/>
        <v>800803.59001599997</v>
      </c>
      <c r="CJ68" s="68">
        <f t="shared" si="74"/>
        <v>26.05841667</v>
      </c>
      <c r="CK68" s="68">
        <f t="shared" si="75"/>
        <v>80.134330559999995</v>
      </c>
      <c r="CL68" s="68">
        <f t="shared" si="76"/>
        <v>26.05841667</v>
      </c>
      <c r="CM68" s="68">
        <f t="shared" si="77"/>
        <v>80.134330559999995</v>
      </c>
      <c r="CN68" s="68">
        <f t="shared" si="78"/>
        <v>0</v>
      </c>
      <c r="CO68" s="68">
        <f t="shared" si="79"/>
        <v>0</v>
      </c>
      <c r="CP68" s="68">
        <f t="shared" si="80"/>
        <v>0.43928729614546391</v>
      </c>
      <c r="CQ68" s="68">
        <f t="shared" si="81"/>
        <v>1.0027157713556663</v>
      </c>
      <c r="CR68" s="68">
        <f t="shared" si="82"/>
        <v>0</v>
      </c>
      <c r="CS68" s="68">
        <f t="shared" si="83"/>
        <v>0.48899531699999998</v>
      </c>
      <c r="CT68" s="68">
        <f t="shared" si="84"/>
        <v>0.23911642</v>
      </c>
      <c r="CU68" s="68">
        <f t="shared" si="85"/>
        <v>0</v>
      </c>
      <c r="CV68" s="68">
        <f t="shared" si="86"/>
        <v>0</v>
      </c>
      <c r="CW68" s="68">
        <f t="shared" si="87"/>
        <v>0</v>
      </c>
      <c r="CX68" s="68">
        <f t="shared" si="88"/>
        <v>0</v>
      </c>
      <c r="CY68" s="68">
        <f t="shared" si="89"/>
        <v>0</v>
      </c>
      <c r="CZ68" s="68" t="e">
        <f t="shared" si="90"/>
        <v>#DIV/0!</v>
      </c>
      <c r="DA68" s="68" t="e">
        <f t="shared" si="91"/>
        <v>#DIV/0!</v>
      </c>
      <c r="DB68" s="68" t="e">
        <f t="shared" si="92"/>
        <v>#DIV/0!</v>
      </c>
      <c r="DC68" s="68" t="e">
        <f t="shared" si="93"/>
        <v>#DIV/0!</v>
      </c>
      <c r="DD68" s="68" t="e">
        <f t="shared" si="94"/>
        <v>#DIV/0!</v>
      </c>
      <c r="DE68" s="68" t="e">
        <f t="shared" si="95"/>
        <v>#DIV/0!</v>
      </c>
      <c r="DF68" s="68" t="e">
        <f t="shared" si="96"/>
        <v>#DIV/0!</v>
      </c>
      <c r="DG68" s="68">
        <f t="shared" si="97"/>
        <v>0.45480516874807669</v>
      </c>
      <c r="DH68" s="68">
        <f t="shared" si="98"/>
        <v>1.3986079121535113</v>
      </c>
      <c r="DI68" s="68">
        <f t="shared" si="99"/>
        <v>1.5707963267948966</v>
      </c>
      <c r="DJ68" s="68" t="e">
        <f t="shared" si="100"/>
        <v>#DIV/0!</v>
      </c>
      <c r="DK68" s="68" t="e">
        <f t="shared" si="101"/>
        <v>#DIV/0!</v>
      </c>
      <c r="DL68" s="68" t="e">
        <f t="shared" si="102"/>
        <v>#DIV/0!</v>
      </c>
      <c r="DM68" s="68" t="e">
        <f t="shared" si="103"/>
        <v>#DIV/0!</v>
      </c>
      <c r="DN68" s="68" t="e">
        <f t="shared" si="104"/>
        <v>#DIV/0!</v>
      </c>
      <c r="DO68" s="68" t="e">
        <f t="shared" si="105"/>
        <v>#DIV/0!</v>
      </c>
      <c r="DP68" s="68" t="e">
        <f t="shared" si="106"/>
        <v>#DIV/0!</v>
      </c>
      <c r="DQ68" s="68" t="e">
        <f t="shared" si="107"/>
        <v>#DIV/0!</v>
      </c>
      <c r="DR68" s="68" t="e">
        <f t="shared" si="108"/>
        <v>#DIV/0!</v>
      </c>
      <c r="DS68" s="68" t="e">
        <f t="shared" si="109"/>
        <v>#DIV/0!</v>
      </c>
      <c r="DT68" s="68" t="e">
        <f t="shared" si="110"/>
        <v>#DIV/0!</v>
      </c>
      <c r="DU68" s="68" t="e">
        <f t="shared" si="111"/>
        <v>#DIV/0!</v>
      </c>
      <c r="DV68" s="68" t="e">
        <f t="shared" si="112"/>
        <v>#DIV/0!</v>
      </c>
      <c r="DW68" s="68" t="e">
        <f t="shared" si="113"/>
        <v>#DIV/0!</v>
      </c>
      <c r="DX68" s="68">
        <f t="shared" si="114"/>
        <v>26.05841667</v>
      </c>
      <c r="DY68" s="68">
        <f t="shared" si="115"/>
        <v>80.134330559999995</v>
      </c>
      <c r="DZ68" s="68" t="e">
        <f t="shared" si="116"/>
        <v>#DIV/0!</v>
      </c>
      <c r="EA68" s="68" t="e">
        <f t="shared" si="117"/>
        <v>#DIV/0!</v>
      </c>
      <c r="EB68" s="68" t="e">
        <f t="shared" si="118"/>
        <v>#DIV/0!</v>
      </c>
      <c r="EC68" s="68" t="e">
        <f t="shared" si="119"/>
        <v>#DIV/0!</v>
      </c>
      <c r="ED68" s="68" t="e">
        <f t="shared" si="120"/>
        <v>#DIV/0!</v>
      </c>
      <c r="EE68" s="68" t="e">
        <f t="shared" si="121"/>
        <v>#DIV/0!</v>
      </c>
      <c r="EF68" s="68" t="e">
        <f t="shared" si="122"/>
        <v>#DIV/0!</v>
      </c>
      <c r="EG68" s="68" t="e">
        <f t="shared" si="123"/>
        <v>#DIV/0!</v>
      </c>
      <c r="EH68" s="68" t="e">
        <f t="shared" si="124"/>
        <v>#DIV/0!</v>
      </c>
      <c r="EI68" s="68" t="e">
        <f t="shared" si="125"/>
        <v>#DIV/0!</v>
      </c>
      <c r="EJ68" s="68" t="e">
        <f t="shared" si="126"/>
        <v>#DIV/0!</v>
      </c>
      <c r="EK68" s="68" t="e">
        <f t="shared" si="127"/>
        <v>#DIV/0!</v>
      </c>
      <c r="EL68" s="68" t="e">
        <f t="shared" si="128"/>
        <v>#DIV/0!</v>
      </c>
      <c r="EM68" s="68" t="e">
        <f t="shared" si="129"/>
        <v>#DIV/0!</v>
      </c>
      <c r="EN68" s="68" t="e">
        <f t="shared" si="130"/>
        <v>#DIV/0!</v>
      </c>
      <c r="EO68" s="68" t="e">
        <f t="shared" si="131"/>
        <v>#DIV/0!</v>
      </c>
      <c r="EP68" s="68" t="e">
        <f t="shared" si="132"/>
        <v>#DIV/0!</v>
      </c>
      <c r="EQ68" s="68" t="e">
        <f t="shared" si="133"/>
        <v>#DIV/0!</v>
      </c>
      <c r="ER68" s="68" t="e">
        <f t="shared" si="134"/>
        <v>#DIV/0!</v>
      </c>
    </row>
    <row r="69" spans="82:148" x14ac:dyDescent="0.25">
      <c r="CD69" s="68" t="s">
        <v>576</v>
      </c>
      <c r="CE69" s="69">
        <f t="shared" si="72"/>
        <v>260330.3</v>
      </c>
      <c r="CF69" s="69">
        <f t="shared" si="73"/>
        <v>800803.59</v>
      </c>
      <c r="CG69" s="70">
        <f t="shared" si="71"/>
        <v>90</v>
      </c>
      <c r="CH69" s="69">
        <f t="shared" si="135"/>
        <v>260330.30001199999</v>
      </c>
      <c r="CI69" s="69">
        <f t="shared" si="136"/>
        <v>800803.59001599997</v>
      </c>
      <c r="CJ69" s="68">
        <f t="shared" si="74"/>
        <v>26.05841667</v>
      </c>
      <c r="CK69" s="68">
        <f t="shared" si="75"/>
        <v>80.134330559999995</v>
      </c>
      <c r="CL69" s="68">
        <f t="shared" si="76"/>
        <v>26.05841667</v>
      </c>
      <c r="CM69" s="68">
        <f t="shared" si="77"/>
        <v>80.134330559999995</v>
      </c>
      <c r="CN69" s="68">
        <f t="shared" si="78"/>
        <v>0</v>
      </c>
      <c r="CO69" s="68">
        <f t="shared" si="79"/>
        <v>0</v>
      </c>
      <c r="CP69" s="68">
        <f t="shared" si="80"/>
        <v>0.43928729614546391</v>
      </c>
      <c r="CQ69" s="68">
        <f t="shared" si="81"/>
        <v>1.0027157713556663</v>
      </c>
      <c r="CR69" s="68">
        <f t="shared" si="82"/>
        <v>0</v>
      </c>
      <c r="CS69" s="68">
        <f t="shared" si="83"/>
        <v>0.48899531699999998</v>
      </c>
      <c r="CT69" s="68">
        <f t="shared" si="84"/>
        <v>0.23911642</v>
      </c>
      <c r="CU69" s="68">
        <f t="shared" si="85"/>
        <v>0</v>
      </c>
      <c r="CV69" s="68">
        <f t="shared" si="86"/>
        <v>0</v>
      </c>
      <c r="CW69" s="68">
        <f t="shared" si="87"/>
        <v>0</v>
      </c>
      <c r="CX69" s="68">
        <f t="shared" si="88"/>
        <v>0</v>
      </c>
      <c r="CY69" s="68">
        <f t="shared" si="89"/>
        <v>0</v>
      </c>
      <c r="CZ69" s="68" t="e">
        <f t="shared" si="90"/>
        <v>#DIV/0!</v>
      </c>
      <c r="DA69" s="68" t="e">
        <f t="shared" si="91"/>
        <v>#DIV/0!</v>
      </c>
      <c r="DB69" s="68" t="e">
        <f t="shared" si="92"/>
        <v>#DIV/0!</v>
      </c>
      <c r="DC69" s="68" t="e">
        <f t="shared" si="93"/>
        <v>#DIV/0!</v>
      </c>
      <c r="DD69" s="68" t="e">
        <f t="shared" si="94"/>
        <v>#DIV/0!</v>
      </c>
      <c r="DE69" s="68" t="e">
        <f t="shared" si="95"/>
        <v>#DIV/0!</v>
      </c>
      <c r="DF69" s="68" t="e">
        <f t="shared" si="96"/>
        <v>#DIV/0!</v>
      </c>
      <c r="DG69" s="68">
        <f t="shared" si="97"/>
        <v>0.45480516874807669</v>
      </c>
      <c r="DH69" s="68">
        <f t="shared" si="98"/>
        <v>1.3986079121535113</v>
      </c>
      <c r="DI69" s="68">
        <f t="shared" si="99"/>
        <v>1.5707963267948966</v>
      </c>
      <c r="DJ69" s="68" t="e">
        <f t="shared" si="100"/>
        <v>#DIV/0!</v>
      </c>
      <c r="DK69" s="68" t="e">
        <f t="shared" si="101"/>
        <v>#DIV/0!</v>
      </c>
      <c r="DL69" s="68" t="e">
        <f t="shared" si="102"/>
        <v>#DIV/0!</v>
      </c>
      <c r="DM69" s="68" t="e">
        <f t="shared" si="103"/>
        <v>#DIV/0!</v>
      </c>
      <c r="DN69" s="68" t="e">
        <f t="shared" si="104"/>
        <v>#DIV/0!</v>
      </c>
      <c r="DO69" s="68" t="e">
        <f t="shared" si="105"/>
        <v>#DIV/0!</v>
      </c>
      <c r="DP69" s="68" t="e">
        <f t="shared" si="106"/>
        <v>#DIV/0!</v>
      </c>
      <c r="DQ69" s="68" t="e">
        <f t="shared" si="107"/>
        <v>#DIV/0!</v>
      </c>
      <c r="DR69" s="68" t="e">
        <f t="shared" si="108"/>
        <v>#DIV/0!</v>
      </c>
      <c r="DS69" s="68" t="e">
        <f t="shared" si="109"/>
        <v>#DIV/0!</v>
      </c>
      <c r="DT69" s="68" t="e">
        <f t="shared" si="110"/>
        <v>#DIV/0!</v>
      </c>
      <c r="DU69" s="68" t="e">
        <f t="shared" si="111"/>
        <v>#DIV/0!</v>
      </c>
      <c r="DV69" s="68" t="e">
        <f t="shared" si="112"/>
        <v>#DIV/0!</v>
      </c>
      <c r="DW69" s="68" t="e">
        <f t="shared" si="113"/>
        <v>#DIV/0!</v>
      </c>
      <c r="DX69" s="68">
        <f t="shared" si="114"/>
        <v>26.05841667</v>
      </c>
      <c r="DY69" s="68">
        <f t="shared" si="115"/>
        <v>80.134330559999995</v>
      </c>
      <c r="DZ69" s="68" t="e">
        <f t="shared" si="116"/>
        <v>#DIV/0!</v>
      </c>
      <c r="EA69" s="68" t="e">
        <f t="shared" si="117"/>
        <v>#DIV/0!</v>
      </c>
      <c r="EB69" s="68" t="e">
        <f t="shared" si="118"/>
        <v>#DIV/0!</v>
      </c>
      <c r="EC69" s="68" t="e">
        <f t="shared" si="119"/>
        <v>#DIV/0!</v>
      </c>
      <c r="ED69" s="68" t="e">
        <f t="shared" si="120"/>
        <v>#DIV/0!</v>
      </c>
      <c r="EE69" s="68" t="e">
        <f t="shared" si="121"/>
        <v>#DIV/0!</v>
      </c>
      <c r="EF69" s="68" t="e">
        <f t="shared" si="122"/>
        <v>#DIV/0!</v>
      </c>
      <c r="EG69" s="68" t="e">
        <f t="shared" si="123"/>
        <v>#DIV/0!</v>
      </c>
      <c r="EH69" s="68" t="e">
        <f t="shared" si="124"/>
        <v>#DIV/0!</v>
      </c>
      <c r="EI69" s="68" t="e">
        <f t="shared" si="125"/>
        <v>#DIV/0!</v>
      </c>
      <c r="EJ69" s="68" t="e">
        <f t="shared" si="126"/>
        <v>#DIV/0!</v>
      </c>
      <c r="EK69" s="68" t="e">
        <f t="shared" si="127"/>
        <v>#DIV/0!</v>
      </c>
      <c r="EL69" s="68" t="e">
        <f t="shared" si="128"/>
        <v>#DIV/0!</v>
      </c>
      <c r="EM69" s="68" t="e">
        <f t="shared" si="129"/>
        <v>#DIV/0!</v>
      </c>
      <c r="EN69" s="68" t="e">
        <f t="shared" si="130"/>
        <v>#DIV/0!</v>
      </c>
      <c r="EO69" s="68" t="e">
        <f t="shared" si="131"/>
        <v>#DIV/0!</v>
      </c>
      <c r="EP69" s="68" t="e">
        <f t="shared" si="132"/>
        <v>#DIV/0!</v>
      </c>
      <c r="EQ69" s="68" t="e">
        <f t="shared" si="133"/>
        <v>#DIV/0!</v>
      </c>
      <c r="ER69" s="68" t="e">
        <f t="shared" si="134"/>
        <v>#DIV/0!</v>
      </c>
    </row>
    <row r="70" spans="82:148" x14ac:dyDescent="0.25">
      <c r="CD70" s="68" t="s">
        <v>577</v>
      </c>
      <c r="CE70" s="69">
        <f t="shared" si="72"/>
        <v>260330.3</v>
      </c>
      <c r="CF70" s="69">
        <f t="shared" si="73"/>
        <v>800803.59</v>
      </c>
      <c r="CG70" s="70">
        <f t="shared" si="71"/>
        <v>90</v>
      </c>
      <c r="CH70" s="69">
        <f t="shared" si="135"/>
        <v>260330.30001199999</v>
      </c>
      <c r="CI70" s="69">
        <f t="shared" si="136"/>
        <v>800803.59001599997</v>
      </c>
      <c r="CJ70" s="68">
        <f t="shared" si="74"/>
        <v>26.05841667</v>
      </c>
      <c r="CK70" s="68">
        <f t="shared" si="75"/>
        <v>80.134330559999995</v>
      </c>
      <c r="CL70" s="68">
        <f t="shared" si="76"/>
        <v>26.05841667</v>
      </c>
      <c r="CM70" s="68">
        <f t="shared" si="77"/>
        <v>80.134330559999995</v>
      </c>
      <c r="CN70" s="68">
        <f t="shared" si="78"/>
        <v>0</v>
      </c>
      <c r="CO70" s="68">
        <f t="shared" si="79"/>
        <v>0</v>
      </c>
      <c r="CP70" s="68">
        <f t="shared" si="80"/>
        <v>0.43928729614546391</v>
      </c>
      <c r="CQ70" s="68">
        <f t="shared" si="81"/>
        <v>1.0027157713556663</v>
      </c>
      <c r="CR70" s="68">
        <f t="shared" si="82"/>
        <v>0</v>
      </c>
      <c r="CS70" s="68">
        <f t="shared" si="83"/>
        <v>0.48899531699999998</v>
      </c>
      <c r="CT70" s="68">
        <f t="shared" si="84"/>
        <v>0.23911642</v>
      </c>
      <c r="CU70" s="68">
        <f t="shared" si="85"/>
        <v>0</v>
      </c>
      <c r="CV70" s="68">
        <f t="shared" si="86"/>
        <v>0</v>
      </c>
      <c r="CW70" s="68">
        <f t="shared" si="87"/>
        <v>0</v>
      </c>
      <c r="CX70" s="68">
        <f t="shared" si="88"/>
        <v>0</v>
      </c>
      <c r="CY70" s="68">
        <f t="shared" si="89"/>
        <v>0</v>
      </c>
      <c r="CZ70" s="68" t="e">
        <f t="shared" si="90"/>
        <v>#DIV/0!</v>
      </c>
      <c r="DA70" s="68" t="e">
        <f t="shared" si="91"/>
        <v>#DIV/0!</v>
      </c>
      <c r="DB70" s="68" t="e">
        <f t="shared" si="92"/>
        <v>#DIV/0!</v>
      </c>
      <c r="DC70" s="68" t="e">
        <f t="shared" si="93"/>
        <v>#DIV/0!</v>
      </c>
      <c r="DD70" s="68" t="e">
        <f t="shared" si="94"/>
        <v>#DIV/0!</v>
      </c>
      <c r="DE70" s="68" t="e">
        <f t="shared" si="95"/>
        <v>#DIV/0!</v>
      </c>
      <c r="DF70" s="68" t="e">
        <f t="shared" si="96"/>
        <v>#DIV/0!</v>
      </c>
      <c r="DG70" s="68">
        <f t="shared" si="97"/>
        <v>0.45480516874807669</v>
      </c>
      <c r="DH70" s="68">
        <f t="shared" si="98"/>
        <v>1.3986079121535113</v>
      </c>
      <c r="DI70" s="68">
        <f t="shared" si="99"/>
        <v>1.5707963267948966</v>
      </c>
      <c r="DJ70" s="68" t="e">
        <f t="shared" si="100"/>
        <v>#DIV/0!</v>
      </c>
      <c r="DK70" s="68" t="e">
        <f t="shared" si="101"/>
        <v>#DIV/0!</v>
      </c>
      <c r="DL70" s="68" t="e">
        <f t="shared" si="102"/>
        <v>#DIV/0!</v>
      </c>
      <c r="DM70" s="68" t="e">
        <f t="shared" si="103"/>
        <v>#DIV/0!</v>
      </c>
      <c r="DN70" s="68" t="e">
        <f t="shared" si="104"/>
        <v>#DIV/0!</v>
      </c>
      <c r="DO70" s="68" t="e">
        <f t="shared" si="105"/>
        <v>#DIV/0!</v>
      </c>
      <c r="DP70" s="68" t="e">
        <f t="shared" si="106"/>
        <v>#DIV/0!</v>
      </c>
      <c r="DQ70" s="68" t="e">
        <f t="shared" si="107"/>
        <v>#DIV/0!</v>
      </c>
      <c r="DR70" s="68" t="e">
        <f t="shared" si="108"/>
        <v>#DIV/0!</v>
      </c>
      <c r="DS70" s="68" t="e">
        <f t="shared" si="109"/>
        <v>#DIV/0!</v>
      </c>
      <c r="DT70" s="68" t="e">
        <f t="shared" si="110"/>
        <v>#DIV/0!</v>
      </c>
      <c r="DU70" s="68" t="e">
        <f t="shared" si="111"/>
        <v>#DIV/0!</v>
      </c>
      <c r="DV70" s="68" t="e">
        <f t="shared" si="112"/>
        <v>#DIV/0!</v>
      </c>
      <c r="DW70" s="68" t="e">
        <f t="shared" si="113"/>
        <v>#DIV/0!</v>
      </c>
      <c r="DX70" s="68">
        <f t="shared" si="114"/>
        <v>26.05841667</v>
      </c>
      <c r="DY70" s="68">
        <f t="shared" si="115"/>
        <v>80.134330559999995</v>
      </c>
      <c r="DZ70" s="68" t="e">
        <f t="shared" si="116"/>
        <v>#DIV/0!</v>
      </c>
      <c r="EA70" s="68" t="e">
        <f t="shared" si="117"/>
        <v>#DIV/0!</v>
      </c>
      <c r="EB70" s="68" t="e">
        <f t="shared" si="118"/>
        <v>#DIV/0!</v>
      </c>
      <c r="EC70" s="68" t="e">
        <f t="shared" si="119"/>
        <v>#DIV/0!</v>
      </c>
      <c r="ED70" s="68" t="e">
        <f t="shared" si="120"/>
        <v>#DIV/0!</v>
      </c>
      <c r="EE70" s="68" t="e">
        <f t="shared" si="121"/>
        <v>#DIV/0!</v>
      </c>
      <c r="EF70" s="68" t="e">
        <f t="shared" si="122"/>
        <v>#DIV/0!</v>
      </c>
      <c r="EG70" s="68" t="e">
        <f t="shared" si="123"/>
        <v>#DIV/0!</v>
      </c>
      <c r="EH70" s="68" t="e">
        <f t="shared" si="124"/>
        <v>#DIV/0!</v>
      </c>
      <c r="EI70" s="68" t="e">
        <f t="shared" si="125"/>
        <v>#DIV/0!</v>
      </c>
      <c r="EJ70" s="68" t="e">
        <f t="shared" si="126"/>
        <v>#DIV/0!</v>
      </c>
      <c r="EK70" s="68" t="e">
        <f t="shared" si="127"/>
        <v>#DIV/0!</v>
      </c>
      <c r="EL70" s="68" t="e">
        <f t="shared" si="128"/>
        <v>#DIV/0!</v>
      </c>
      <c r="EM70" s="68" t="e">
        <f t="shared" si="129"/>
        <v>#DIV/0!</v>
      </c>
      <c r="EN70" s="68" t="e">
        <f t="shared" si="130"/>
        <v>#DIV/0!</v>
      </c>
      <c r="EO70" s="68" t="e">
        <f t="shared" si="131"/>
        <v>#DIV/0!</v>
      </c>
      <c r="EP70" s="68" t="e">
        <f t="shared" si="132"/>
        <v>#DIV/0!</v>
      </c>
      <c r="EQ70" s="68" t="e">
        <f t="shared" si="133"/>
        <v>#DIV/0!</v>
      </c>
      <c r="ER70" s="68" t="e">
        <f t="shared" si="134"/>
        <v>#DIV/0!</v>
      </c>
    </row>
    <row r="71" spans="82:148" x14ac:dyDescent="0.25">
      <c r="CD71" s="68" t="s">
        <v>578</v>
      </c>
      <c r="CE71" s="69">
        <f t="shared" si="72"/>
        <v>260330.3</v>
      </c>
      <c r="CF71" s="69">
        <f t="shared" si="73"/>
        <v>800803.59</v>
      </c>
      <c r="CG71" s="70">
        <f t="shared" si="71"/>
        <v>90</v>
      </c>
      <c r="CH71" s="69">
        <f t="shared" si="135"/>
        <v>260330.30001199999</v>
      </c>
      <c r="CI71" s="69">
        <f t="shared" si="136"/>
        <v>800803.59001599997</v>
      </c>
      <c r="CJ71" s="68">
        <f t="shared" si="74"/>
        <v>26.05841667</v>
      </c>
      <c r="CK71" s="68">
        <f t="shared" si="75"/>
        <v>80.134330559999995</v>
      </c>
      <c r="CL71" s="68">
        <f t="shared" si="76"/>
        <v>26.05841667</v>
      </c>
      <c r="CM71" s="68">
        <f t="shared" si="77"/>
        <v>80.134330559999995</v>
      </c>
      <c r="CN71" s="68">
        <f t="shared" si="78"/>
        <v>0</v>
      </c>
      <c r="CO71" s="68">
        <f t="shared" si="79"/>
        <v>0</v>
      </c>
      <c r="CP71" s="68">
        <f t="shared" si="80"/>
        <v>0.43928729614546391</v>
      </c>
      <c r="CQ71" s="68">
        <f t="shared" si="81"/>
        <v>1.0027157713556663</v>
      </c>
      <c r="CR71" s="68">
        <f t="shared" si="82"/>
        <v>0</v>
      </c>
      <c r="CS71" s="68">
        <f t="shared" si="83"/>
        <v>0.48899531699999998</v>
      </c>
      <c r="CT71" s="68">
        <f t="shared" si="84"/>
        <v>0.23911642</v>
      </c>
      <c r="CU71" s="68">
        <f t="shared" si="85"/>
        <v>0</v>
      </c>
      <c r="CV71" s="68">
        <f t="shared" si="86"/>
        <v>0</v>
      </c>
      <c r="CW71" s="68">
        <f t="shared" si="87"/>
        <v>0</v>
      </c>
      <c r="CX71" s="68">
        <f t="shared" si="88"/>
        <v>0</v>
      </c>
      <c r="CY71" s="68">
        <f t="shared" si="89"/>
        <v>0</v>
      </c>
      <c r="CZ71" s="68" t="e">
        <f t="shared" si="90"/>
        <v>#DIV/0!</v>
      </c>
      <c r="DA71" s="68" t="e">
        <f t="shared" si="91"/>
        <v>#DIV/0!</v>
      </c>
      <c r="DB71" s="68" t="e">
        <f t="shared" si="92"/>
        <v>#DIV/0!</v>
      </c>
      <c r="DC71" s="68" t="e">
        <f t="shared" si="93"/>
        <v>#DIV/0!</v>
      </c>
      <c r="DD71" s="68" t="e">
        <f t="shared" si="94"/>
        <v>#DIV/0!</v>
      </c>
      <c r="DE71" s="68" t="e">
        <f t="shared" si="95"/>
        <v>#DIV/0!</v>
      </c>
      <c r="DF71" s="68" t="e">
        <f t="shared" si="96"/>
        <v>#DIV/0!</v>
      </c>
      <c r="DG71" s="68">
        <f t="shared" si="97"/>
        <v>0.45480516874807669</v>
      </c>
      <c r="DH71" s="68">
        <f t="shared" si="98"/>
        <v>1.3986079121535113</v>
      </c>
      <c r="DI71" s="68">
        <f t="shared" si="99"/>
        <v>1.5707963267948966</v>
      </c>
      <c r="DJ71" s="68" t="e">
        <f t="shared" si="100"/>
        <v>#DIV/0!</v>
      </c>
      <c r="DK71" s="68" t="e">
        <f t="shared" si="101"/>
        <v>#DIV/0!</v>
      </c>
      <c r="DL71" s="68" t="e">
        <f t="shared" si="102"/>
        <v>#DIV/0!</v>
      </c>
      <c r="DM71" s="68" t="e">
        <f t="shared" si="103"/>
        <v>#DIV/0!</v>
      </c>
      <c r="DN71" s="68" t="e">
        <f t="shared" si="104"/>
        <v>#DIV/0!</v>
      </c>
      <c r="DO71" s="68" t="e">
        <f t="shared" si="105"/>
        <v>#DIV/0!</v>
      </c>
      <c r="DP71" s="68" t="e">
        <f t="shared" si="106"/>
        <v>#DIV/0!</v>
      </c>
      <c r="DQ71" s="68" t="e">
        <f t="shared" si="107"/>
        <v>#DIV/0!</v>
      </c>
      <c r="DR71" s="68" t="e">
        <f t="shared" si="108"/>
        <v>#DIV/0!</v>
      </c>
      <c r="DS71" s="68" t="e">
        <f t="shared" si="109"/>
        <v>#DIV/0!</v>
      </c>
      <c r="DT71" s="68" t="e">
        <f t="shared" si="110"/>
        <v>#DIV/0!</v>
      </c>
      <c r="DU71" s="68" t="e">
        <f t="shared" si="111"/>
        <v>#DIV/0!</v>
      </c>
      <c r="DV71" s="68" t="e">
        <f t="shared" si="112"/>
        <v>#DIV/0!</v>
      </c>
      <c r="DW71" s="68" t="e">
        <f t="shared" si="113"/>
        <v>#DIV/0!</v>
      </c>
      <c r="DX71" s="68">
        <f t="shared" si="114"/>
        <v>26.05841667</v>
      </c>
      <c r="DY71" s="68">
        <f t="shared" si="115"/>
        <v>80.134330559999995</v>
      </c>
      <c r="DZ71" s="68" t="e">
        <f t="shared" si="116"/>
        <v>#DIV/0!</v>
      </c>
      <c r="EA71" s="68" t="e">
        <f t="shared" si="117"/>
        <v>#DIV/0!</v>
      </c>
      <c r="EB71" s="68" t="e">
        <f t="shared" si="118"/>
        <v>#DIV/0!</v>
      </c>
      <c r="EC71" s="68" t="e">
        <f t="shared" si="119"/>
        <v>#DIV/0!</v>
      </c>
      <c r="ED71" s="68" t="e">
        <f t="shared" si="120"/>
        <v>#DIV/0!</v>
      </c>
      <c r="EE71" s="68" t="e">
        <f t="shared" si="121"/>
        <v>#DIV/0!</v>
      </c>
      <c r="EF71" s="68" t="e">
        <f t="shared" si="122"/>
        <v>#DIV/0!</v>
      </c>
      <c r="EG71" s="68" t="e">
        <f t="shared" si="123"/>
        <v>#DIV/0!</v>
      </c>
      <c r="EH71" s="68" t="e">
        <f t="shared" si="124"/>
        <v>#DIV/0!</v>
      </c>
      <c r="EI71" s="68" t="e">
        <f t="shared" si="125"/>
        <v>#DIV/0!</v>
      </c>
      <c r="EJ71" s="68" t="e">
        <f t="shared" si="126"/>
        <v>#DIV/0!</v>
      </c>
      <c r="EK71" s="68" t="e">
        <f t="shared" si="127"/>
        <v>#DIV/0!</v>
      </c>
      <c r="EL71" s="68" t="e">
        <f t="shared" si="128"/>
        <v>#DIV/0!</v>
      </c>
      <c r="EM71" s="68" t="e">
        <f t="shared" si="129"/>
        <v>#DIV/0!</v>
      </c>
      <c r="EN71" s="68" t="e">
        <f t="shared" si="130"/>
        <v>#DIV/0!</v>
      </c>
      <c r="EO71" s="68" t="e">
        <f t="shared" si="131"/>
        <v>#DIV/0!</v>
      </c>
      <c r="EP71" s="68" t="e">
        <f t="shared" si="132"/>
        <v>#DIV/0!</v>
      </c>
      <c r="EQ71" s="68" t="e">
        <f t="shared" si="133"/>
        <v>#DIV/0!</v>
      </c>
      <c r="ER71" s="68" t="e">
        <f t="shared" si="134"/>
        <v>#DIV/0!</v>
      </c>
    </row>
    <row r="72" spans="82:148" x14ac:dyDescent="0.25">
      <c r="CD72" s="68" t="s">
        <v>579</v>
      </c>
      <c r="CE72" s="69">
        <f t="shared" si="72"/>
        <v>260330.3</v>
      </c>
      <c r="CF72" s="69">
        <f t="shared" si="73"/>
        <v>800803.59</v>
      </c>
      <c r="CG72" s="70">
        <f t="shared" si="71"/>
        <v>90</v>
      </c>
      <c r="CH72" s="69">
        <f t="shared" si="135"/>
        <v>260330.30001199999</v>
      </c>
      <c r="CI72" s="69">
        <f t="shared" si="136"/>
        <v>800803.59001599997</v>
      </c>
      <c r="CJ72" s="68">
        <f t="shared" si="74"/>
        <v>26.05841667</v>
      </c>
      <c r="CK72" s="68">
        <f t="shared" si="75"/>
        <v>80.134330559999995</v>
      </c>
      <c r="CL72" s="68">
        <f t="shared" si="76"/>
        <v>26.05841667</v>
      </c>
      <c r="CM72" s="68">
        <f t="shared" si="77"/>
        <v>80.134330559999995</v>
      </c>
      <c r="CN72" s="68">
        <f t="shared" si="78"/>
        <v>0</v>
      </c>
      <c r="CO72" s="68">
        <f t="shared" si="79"/>
        <v>0</v>
      </c>
      <c r="CP72" s="68">
        <f t="shared" si="80"/>
        <v>0.43928729614546391</v>
      </c>
      <c r="CQ72" s="68">
        <f t="shared" si="81"/>
        <v>1.0027157713556663</v>
      </c>
      <c r="CR72" s="68">
        <f t="shared" si="82"/>
        <v>0</v>
      </c>
      <c r="CS72" s="68">
        <f t="shared" si="83"/>
        <v>0.48899531699999998</v>
      </c>
      <c r="CT72" s="68">
        <f t="shared" si="84"/>
        <v>0.23911642</v>
      </c>
      <c r="CU72" s="68">
        <f t="shared" si="85"/>
        <v>0</v>
      </c>
      <c r="CV72" s="68">
        <f t="shared" si="86"/>
        <v>0</v>
      </c>
      <c r="CW72" s="68">
        <f t="shared" si="87"/>
        <v>0</v>
      </c>
      <c r="CX72" s="68">
        <f t="shared" si="88"/>
        <v>0</v>
      </c>
      <c r="CY72" s="68">
        <f t="shared" si="89"/>
        <v>0</v>
      </c>
      <c r="CZ72" s="68" t="e">
        <f t="shared" si="90"/>
        <v>#DIV/0!</v>
      </c>
      <c r="DA72" s="68" t="e">
        <f t="shared" si="91"/>
        <v>#DIV/0!</v>
      </c>
      <c r="DB72" s="68" t="e">
        <f t="shared" si="92"/>
        <v>#DIV/0!</v>
      </c>
      <c r="DC72" s="68" t="e">
        <f t="shared" si="93"/>
        <v>#DIV/0!</v>
      </c>
      <c r="DD72" s="68" t="e">
        <f t="shared" si="94"/>
        <v>#DIV/0!</v>
      </c>
      <c r="DE72" s="68" t="e">
        <f t="shared" si="95"/>
        <v>#DIV/0!</v>
      </c>
      <c r="DF72" s="68" t="e">
        <f t="shared" si="96"/>
        <v>#DIV/0!</v>
      </c>
      <c r="DG72" s="68">
        <f t="shared" si="97"/>
        <v>0.45480516874807669</v>
      </c>
      <c r="DH72" s="68">
        <f t="shared" si="98"/>
        <v>1.3986079121535113</v>
      </c>
      <c r="DI72" s="68">
        <f t="shared" si="99"/>
        <v>1.5707963267948966</v>
      </c>
      <c r="DJ72" s="68" t="e">
        <f t="shared" si="100"/>
        <v>#DIV/0!</v>
      </c>
      <c r="DK72" s="68" t="e">
        <f t="shared" si="101"/>
        <v>#DIV/0!</v>
      </c>
      <c r="DL72" s="68" t="e">
        <f t="shared" si="102"/>
        <v>#DIV/0!</v>
      </c>
      <c r="DM72" s="68" t="e">
        <f t="shared" si="103"/>
        <v>#DIV/0!</v>
      </c>
      <c r="DN72" s="68" t="e">
        <f t="shared" si="104"/>
        <v>#DIV/0!</v>
      </c>
      <c r="DO72" s="68" t="e">
        <f t="shared" si="105"/>
        <v>#DIV/0!</v>
      </c>
      <c r="DP72" s="68" t="e">
        <f t="shared" si="106"/>
        <v>#DIV/0!</v>
      </c>
      <c r="DQ72" s="68" t="e">
        <f t="shared" si="107"/>
        <v>#DIV/0!</v>
      </c>
      <c r="DR72" s="68" t="e">
        <f t="shared" si="108"/>
        <v>#DIV/0!</v>
      </c>
      <c r="DS72" s="68" t="e">
        <f t="shared" si="109"/>
        <v>#DIV/0!</v>
      </c>
      <c r="DT72" s="68" t="e">
        <f t="shared" si="110"/>
        <v>#DIV/0!</v>
      </c>
      <c r="DU72" s="68" t="e">
        <f t="shared" si="111"/>
        <v>#DIV/0!</v>
      </c>
      <c r="DV72" s="68" t="e">
        <f t="shared" si="112"/>
        <v>#DIV/0!</v>
      </c>
      <c r="DW72" s="68" t="e">
        <f t="shared" si="113"/>
        <v>#DIV/0!</v>
      </c>
      <c r="DX72" s="68">
        <f t="shared" si="114"/>
        <v>26.05841667</v>
      </c>
      <c r="DY72" s="68">
        <f t="shared" si="115"/>
        <v>80.134330559999995</v>
      </c>
      <c r="DZ72" s="68" t="e">
        <f t="shared" si="116"/>
        <v>#DIV/0!</v>
      </c>
      <c r="EA72" s="68" t="e">
        <f t="shared" si="117"/>
        <v>#DIV/0!</v>
      </c>
      <c r="EB72" s="68" t="e">
        <f t="shared" si="118"/>
        <v>#DIV/0!</v>
      </c>
      <c r="EC72" s="68" t="e">
        <f t="shared" si="119"/>
        <v>#DIV/0!</v>
      </c>
      <c r="ED72" s="68" t="e">
        <f t="shared" si="120"/>
        <v>#DIV/0!</v>
      </c>
      <c r="EE72" s="68" t="e">
        <f t="shared" si="121"/>
        <v>#DIV/0!</v>
      </c>
      <c r="EF72" s="68" t="e">
        <f t="shared" si="122"/>
        <v>#DIV/0!</v>
      </c>
      <c r="EG72" s="68" t="e">
        <f t="shared" si="123"/>
        <v>#DIV/0!</v>
      </c>
      <c r="EH72" s="68" t="e">
        <f t="shared" si="124"/>
        <v>#DIV/0!</v>
      </c>
      <c r="EI72" s="68" t="e">
        <f t="shared" si="125"/>
        <v>#DIV/0!</v>
      </c>
      <c r="EJ72" s="68" t="e">
        <f t="shared" si="126"/>
        <v>#DIV/0!</v>
      </c>
      <c r="EK72" s="68" t="e">
        <f t="shared" si="127"/>
        <v>#DIV/0!</v>
      </c>
      <c r="EL72" s="68" t="e">
        <f t="shared" si="128"/>
        <v>#DIV/0!</v>
      </c>
      <c r="EM72" s="68" t="e">
        <f t="shared" si="129"/>
        <v>#DIV/0!</v>
      </c>
      <c r="EN72" s="68" t="e">
        <f t="shared" si="130"/>
        <v>#DIV/0!</v>
      </c>
      <c r="EO72" s="68" t="e">
        <f t="shared" si="131"/>
        <v>#DIV/0!</v>
      </c>
      <c r="EP72" s="68" t="e">
        <f t="shared" si="132"/>
        <v>#DIV/0!</v>
      </c>
      <c r="EQ72" s="68" t="e">
        <f t="shared" si="133"/>
        <v>#DIV/0!</v>
      </c>
      <c r="ER72" s="68" t="e">
        <f t="shared" si="134"/>
        <v>#DIV/0!</v>
      </c>
    </row>
    <row r="73" spans="82:148" x14ac:dyDescent="0.25">
      <c r="CD73" s="68" t="s">
        <v>580</v>
      </c>
      <c r="CE73" s="69">
        <f t="shared" si="72"/>
        <v>260330.3</v>
      </c>
      <c r="CF73" s="69">
        <f t="shared" si="73"/>
        <v>800803.59</v>
      </c>
      <c r="CG73" s="70">
        <f t="shared" si="71"/>
        <v>90</v>
      </c>
      <c r="CH73" s="69">
        <f t="shared" si="135"/>
        <v>260330.30001199999</v>
      </c>
      <c r="CI73" s="69">
        <f t="shared" si="136"/>
        <v>800803.59001599997</v>
      </c>
      <c r="CJ73" s="68">
        <f t="shared" si="74"/>
        <v>26.05841667</v>
      </c>
      <c r="CK73" s="68">
        <f t="shared" si="75"/>
        <v>80.134330559999995</v>
      </c>
      <c r="CL73" s="68">
        <f t="shared" si="76"/>
        <v>26.05841667</v>
      </c>
      <c r="CM73" s="68">
        <f t="shared" si="77"/>
        <v>80.134330559999995</v>
      </c>
      <c r="CN73" s="68">
        <f t="shared" si="78"/>
        <v>0</v>
      </c>
      <c r="CO73" s="68">
        <f t="shared" si="79"/>
        <v>0</v>
      </c>
      <c r="CP73" s="68">
        <f t="shared" si="80"/>
        <v>0.43928729614546391</v>
      </c>
      <c r="CQ73" s="68">
        <f t="shared" si="81"/>
        <v>1.0027157713556663</v>
      </c>
      <c r="CR73" s="68">
        <f t="shared" si="82"/>
        <v>0</v>
      </c>
      <c r="CS73" s="68">
        <f t="shared" si="83"/>
        <v>0.48899531699999998</v>
      </c>
      <c r="CT73" s="68">
        <f t="shared" si="84"/>
        <v>0.23911642</v>
      </c>
      <c r="CU73" s="68">
        <f t="shared" si="85"/>
        <v>0</v>
      </c>
      <c r="CV73" s="68">
        <f t="shared" si="86"/>
        <v>0</v>
      </c>
      <c r="CW73" s="68">
        <f t="shared" si="87"/>
        <v>0</v>
      </c>
      <c r="CX73" s="68">
        <f t="shared" si="88"/>
        <v>0</v>
      </c>
      <c r="CY73" s="68">
        <f t="shared" si="89"/>
        <v>0</v>
      </c>
      <c r="CZ73" s="68" t="e">
        <f t="shared" si="90"/>
        <v>#DIV/0!</v>
      </c>
      <c r="DA73" s="68" t="e">
        <f t="shared" si="91"/>
        <v>#DIV/0!</v>
      </c>
      <c r="DB73" s="68" t="e">
        <f t="shared" si="92"/>
        <v>#DIV/0!</v>
      </c>
      <c r="DC73" s="68" t="e">
        <f t="shared" si="93"/>
        <v>#DIV/0!</v>
      </c>
      <c r="DD73" s="68" t="e">
        <f t="shared" si="94"/>
        <v>#DIV/0!</v>
      </c>
      <c r="DE73" s="68" t="e">
        <f t="shared" si="95"/>
        <v>#DIV/0!</v>
      </c>
      <c r="DF73" s="68" t="e">
        <f t="shared" si="96"/>
        <v>#DIV/0!</v>
      </c>
      <c r="DG73" s="68">
        <f t="shared" si="97"/>
        <v>0.45480516874807669</v>
      </c>
      <c r="DH73" s="68">
        <f t="shared" si="98"/>
        <v>1.3986079121535113</v>
      </c>
      <c r="DI73" s="68">
        <f t="shared" si="99"/>
        <v>1.5707963267948966</v>
      </c>
      <c r="DJ73" s="68" t="e">
        <f t="shared" si="100"/>
        <v>#DIV/0!</v>
      </c>
      <c r="DK73" s="68" t="e">
        <f t="shared" si="101"/>
        <v>#DIV/0!</v>
      </c>
      <c r="DL73" s="68" t="e">
        <f t="shared" si="102"/>
        <v>#DIV/0!</v>
      </c>
      <c r="DM73" s="68" t="e">
        <f t="shared" si="103"/>
        <v>#DIV/0!</v>
      </c>
      <c r="DN73" s="68" t="e">
        <f t="shared" si="104"/>
        <v>#DIV/0!</v>
      </c>
      <c r="DO73" s="68" t="e">
        <f t="shared" si="105"/>
        <v>#DIV/0!</v>
      </c>
      <c r="DP73" s="68" t="e">
        <f t="shared" si="106"/>
        <v>#DIV/0!</v>
      </c>
      <c r="DQ73" s="68" t="e">
        <f t="shared" si="107"/>
        <v>#DIV/0!</v>
      </c>
      <c r="DR73" s="68" t="e">
        <f t="shared" si="108"/>
        <v>#DIV/0!</v>
      </c>
      <c r="DS73" s="68" t="e">
        <f t="shared" si="109"/>
        <v>#DIV/0!</v>
      </c>
      <c r="DT73" s="68" t="e">
        <f t="shared" si="110"/>
        <v>#DIV/0!</v>
      </c>
      <c r="DU73" s="68" t="e">
        <f t="shared" si="111"/>
        <v>#DIV/0!</v>
      </c>
      <c r="DV73" s="68" t="e">
        <f t="shared" si="112"/>
        <v>#DIV/0!</v>
      </c>
      <c r="DW73" s="68" t="e">
        <f t="shared" si="113"/>
        <v>#DIV/0!</v>
      </c>
      <c r="DX73" s="68">
        <f t="shared" si="114"/>
        <v>26.05841667</v>
      </c>
      <c r="DY73" s="68">
        <f t="shared" si="115"/>
        <v>80.134330559999995</v>
      </c>
      <c r="DZ73" s="68" t="e">
        <f t="shared" si="116"/>
        <v>#DIV/0!</v>
      </c>
      <c r="EA73" s="68" t="e">
        <f t="shared" si="117"/>
        <v>#DIV/0!</v>
      </c>
      <c r="EB73" s="68" t="e">
        <f t="shared" si="118"/>
        <v>#DIV/0!</v>
      </c>
      <c r="EC73" s="68" t="e">
        <f t="shared" si="119"/>
        <v>#DIV/0!</v>
      </c>
      <c r="ED73" s="68" t="e">
        <f t="shared" si="120"/>
        <v>#DIV/0!</v>
      </c>
      <c r="EE73" s="68" t="e">
        <f t="shared" si="121"/>
        <v>#DIV/0!</v>
      </c>
      <c r="EF73" s="68" t="e">
        <f t="shared" si="122"/>
        <v>#DIV/0!</v>
      </c>
      <c r="EG73" s="68" t="e">
        <f t="shared" si="123"/>
        <v>#DIV/0!</v>
      </c>
      <c r="EH73" s="68" t="e">
        <f t="shared" si="124"/>
        <v>#DIV/0!</v>
      </c>
      <c r="EI73" s="68" t="e">
        <f t="shared" si="125"/>
        <v>#DIV/0!</v>
      </c>
      <c r="EJ73" s="68" t="e">
        <f t="shared" si="126"/>
        <v>#DIV/0!</v>
      </c>
      <c r="EK73" s="68" t="e">
        <f t="shared" si="127"/>
        <v>#DIV/0!</v>
      </c>
      <c r="EL73" s="68" t="e">
        <f t="shared" si="128"/>
        <v>#DIV/0!</v>
      </c>
      <c r="EM73" s="68" t="e">
        <f t="shared" si="129"/>
        <v>#DIV/0!</v>
      </c>
      <c r="EN73" s="68" t="e">
        <f t="shared" si="130"/>
        <v>#DIV/0!</v>
      </c>
      <c r="EO73" s="68" t="e">
        <f t="shared" si="131"/>
        <v>#DIV/0!</v>
      </c>
      <c r="EP73" s="68" t="e">
        <f t="shared" si="132"/>
        <v>#DIV/0!</v>
      </c>
      <c r="EQ73" s="68" t="e">
        <f t="shared" si="133"/>
        <v>#DIV/0!</v>
      </c>
      <c r="ER73" s="68" t="e">
        <f t="shared" si="134"/>
        <v>#DIV/0!</v>
      </c>
    </row>
    <row r="74" spans="82:148" x14ac:dyDescent="0.25">
      <c r="CD74" s="68" t="s">
        <v>581</v>
      </c>
      <c r="CE74" s="69">
        <f t="shared" si="72"/>
        <v>260330.3</v>
      </c>
      <c r="CF74" s="69">
        <f t="shared" si="73"/>
        <v>800803.59</v>
      </c>
      <c r="CG74" s="70">
        <f t="shared" si="71"/>
        <v>90</v>
      </c>
      <c r="CH74" s="69">
        <f t="shared" si="135"/>
        <v>260330.30001199999</v>
      </c>
      <c r="CI74" s="69">
        <f t="shared" si="136"/>
        <v>800803.59001599997</v>
      </c>
      <c r="CJ74" s="68">
        <f t="shared" si="74"/>
        <v>26.05841667</v>
      </c>
      <c r="CK74" s="68">
        <f t="shared" si="75"/>
        <v>80.134330559999995</v>
      </c>
      <c r="CL74" s="68">
        <f t="shared" si="76"/>
        <v>26.05841667</v>
      </c>
      <c r="CM74" s="68">
        <f t="shared" si="77"/>
        <v>80.134330559999995</v>
      </c>
      <c r="CN74" s="68">
        <f t="shared" si="78"/>
        <v>0</v>
      </c>
      <c r="CO74" s="68">
        <f t="shared" si="79"/>
        <v>0</v>
      </c>
      <c r="CP74" s="68">
        <f t="shared" si="80"/>
        <v>0.43928729614546391</v>
      </c>
      <c r="CQ74" s="68">
        <f t="shared" si="81"/>
        <v>1.0027157713556663</v>
      </c>
      <c r="CR74" s="68">
        <f t="shared" si="82"/>
        <v>0</v>
      </c>
      <c r="CS74" s="68">
        <f t="shared" si="83"/>
        <v>0.48899531699999998</v>
      </c>
      <c r="CT74" s="68">
        <f t="shared" si="84"/>
        <v>0.23911642</v>
      </c>
      <c r="CU74" s="68">
        <f t="shared" si="85"/>
        <v>0</v>
      </c>
      <c r="CV74" s="68">
        <f t="shared" si="86"/>
        <v>0</v>
      </c>
      <c r="CW74" s="68">
        <f t="shared" si="87"/>
        <v>0</v>
      </c>
      <c r="CX74" s="68">
        <f t="shared" si="88"/>
        <v>0</v>
      </c>
      <c r="CY74" s="68">
        <f t="shared" si="89"/>
        <v>0</v>
      </c>
      <c r="CZ74" s="68" t="e">
        <f t="shared" si="90"/>
        <v>#DIV/0!</v>
      </c>
      <c r="DA74" s="68" t="e">
        <f t="shared" si="91"/>
        <v>#DIV/0!</v>
      </c>
      <c r="DB74" s="68" t="e">
        <f t="shared" si="92"/>
        <v>#DIV/0!</v>
      </c>
      <c r="DC74" s="68" t="e">
        <f t="shared" si="93"/>
        <v>#DIV/0!</v>
      </c>
      <c r="DD74" s="68" t="e">
        <f t="shared" si="94"/>
        <v>#DIV/0!</v>
      </c>
      <c r="DE74" s="68" t="e">
        <f t="shared" si="95"/>
        <v>#DIV/0!</v>
      </c>
      <c r="DF74" s="68" t="e">
        <f t="shared" si="96"/>
        <v>#DIV/0!</v>
      </c>
      <c r="DG74" s="68">
        <f t="shared" si="97"/>
        <v>0.45480516874807669</v>
      </c>
      <c r="DH74" s="68">
        <f t="shared" si="98"/>
        <v>1.3986079121535113</v>
      </c>
      <c r="DI74" s="68">
        <f t="shared" si="99"/>
        <v>1.5707963267948966</v>
      </c>
      <c r="DJ74" s="68" t="e">
        <f t="shared" si="100"/>
        <v>#DIV/0!</v>
      </c>
      <c r="DK74" s="68" t="e">
        <f t="shared" si="101"/>
        <v>#DIV/0!</v>
      </c>
      <c r="DL74" s="68" t="e">
        <f t="shared" si="102"/>
        <v>#DIV/0!</v>
      </c>
      <c r="DM74" s="68" t="e">
        <f t="shared" si="103"/>
        <v>#DIV/0!</v>
      </c>
      <c r="DN74" s="68" t="e">
        <f t="shared" si="104"/>
        <v>#DIV/0!</v>
      </c>
      <c r="DO74" s="68" t="e">
        <f t="shared" si="105"/>
        <v>#DIV/0!</v>
      </c>
      <c r="DP74" s="68" t="e">
        <f t="shared" si="106"/>
        <v>#DIV/0!</v>
      </c>
      <c r="DQ74" s="68" t="e">
        <f t="shared" si="107"/>
        <v>#DIV/0!</v>
      </c>
      <c r="DR74" s="68" t="e">
        <f t="shared" si="108"/>
        <v>#DIV/0!</v>
      </c>
      <c r="DS74" s="68" t="e">
        <f t="shared" si="109"/>
        <v>#DIV/0!</v>
      </c>
      <c r="DT74" s="68" t="e">
        <f t="shared" si="110"/>
        <v>#DIV/0!</v>
      </c>
      <c r="DU74" s="68" t="e">
        <f t="shared" si="111"/>
        <v>#DIV/0!</v>
      </c>
      <c r="DV74" s="68" t="e">
        <f t="shared" si="112"/>
        <v>#DIV/0!</v>
      </c>
      <c r="DW74" s="68" t="e">
        <f t="shared" si="113"/>
        <v>#DIV/0!</v>
      </c>
      <c r="DX74" s="68">
        <f t="shared" si="114"/>
        <v>26.05841667</v>
      </c>
      <c r="DY74" s="68">
        <f t="shared" si="115"/>
        <v>80.134330559999995</v>
      </c>
      <c r="DZ74" s="68" t="e">
        <f t="shared" si="116"/>
        <v>#DIV/0!</v>
      </c>
      <c r="EA74" s="68" t="e">
        <f t="shared" si="117"/>
        <v>#DIV/0!</v>
      </c>
      <c r="EB74" s="68" t="e">
        <f t="shared" si="118"/>
        <v>#DIV/0!</v>
      </c>
      <c r="EC74" s="68" t="e">
        <f t="shared" si="119"/>
        <v>#DIV/0!</v>
      </c>
      <c r="ED74" s="68" t="e">
        <f t="shared" si="120"/>
        <v>#DIV/0!</v>
      </c>
      <c r="EE74" s="68" t="e">
        <f t="shared" si="121"/>
        <v>#DIV/0!</v>
      </c>
      <c r="EF74" s="68" t="e">
        <f t="shared" si="122"/>
        <v>#DIV/0!</v>
      </c>
      <c r="EG74" s="68" t="e">
        <f t="shared" si="123"/>
        <v>#DIV/0!</v>
      </c>
      <c r="EH74" s="68" t="e">
        <f t="shared" si="124"/>
        <v>#DIV/0!</v>
      </c>
      <c r="EI74" s="68" t="e">
        <f t="shared" si="125"/>
        <v>#DIV/0!</v>
      </c>
      <c r="EJ74" s="68" t="e">
        <f t="shared" si="126"/>
        <v>#DIV/0!</v>
      </c>
      <c r="EK74" s="68" t="e">
        <f t="shared" si="127"/>
        <v>#DIV/0!</v>
      </c>
      <c r="EL74" s="68" t="e">
        <f t="shared" si="128"/>
        <v>#DIV/0!</v>
      </c>
      <c r="EM74" s="68" t="e">
        <f t="shared" si="129"/>
        <v>#DIV/0!</v>
      </c>
      <c r="EN74" s="68" t="e">
        <f t="shared" si="130"/>
        <v>#DIV/0!</v>
      </c>
      <c r="EO74" s="68" t="e">
        <f t="shared" si="131"/>
        <v>#DIV/0!</v>
      </c>
      <c r="EP74" s="68" t="e">
        <f t="shared" si="132"/>
        <v>#DIV/0!</v>
      </c>
      <c r="EQ74" s="68" t="e">
        <f t="shared" si="133"/>
        <v>#DIV/0!</v>
      </c>
      <c r="ER74" s="68" t="e">
        <f t="shared" si="134"/>
        <v>#DIV/0!</v>
      </c>
    </row>
    <row r="75" spans="82:148" x14ac:dyDescent="0.25">
      <c r="CD75" s="68" t="s">
        <v>582</v>
      </c>
      <c r="CE75" s="69">
        <f t="shared" si="72"/>
        <v>260330.3</v>
      </c>
      <c r="CF75" s="69">
        <f t="shared" si="73"/>
        <v>800803.59</v>
      </c>
      <c r="CG75" s="70">
        <f t="shared" si="71"/>
        <v>90</v>
      </c>
      <c r="CH75" s="69">
        <f t="shared" si="135"/>
        <v>260330.30001199999</v>
      </c>
      <c r="CI75" s="69">
        <f t="shared" si="136"/>
        <v>800803.59001599997</v>
      </c>
      <c r="CJ75" s="68">
        <f t="shared" si="74"/>
        <v>26.05841667</v>
      </c>
      <c r="CK75" s="68">
        <f t="shared" si="75"/>
        <v>80.134330559999995</v>
      </c>
      <c r="CL75" s="68">
        <f t="shared" si="76"/>
        <v>26.05841667</v>
      </c>
      <c r="CM75" s="68">
        <f t="shared" si="77"/>
        <v>80.134330559999995</v>
      </c>
      <c r="CN75" s="68">
        <f t="shared" si="78"/>
        <v>0</v>
      </c>
      <c r="CO75" s="68">
        <f t="shared" si="79"/>
        <v>0</v>
      </c>
      <c r="CP75" s="68">
        <f t="shared" si="80"/>
        <v>0.43928729614546391</v>
      </c>
      <c r="CQ75" s="68">
        <f t="shared" si="81"/>
        <v>1.0027157713556663</v>
      </c>
      <c r="CR75" s="68">
        <f t="shared" si="82"/>
        <v>0</v>
      </c>
      <c r="CS75" s="68">
        <f t="shared" si="83"/>
        <v>0.48899531699999998</v>
      </c>
      <c r="CT75" s="68">
        <f t="shared" si="84"/>
        <v>0.23911642</v>
      </c>
      <c r="CU75" s="68">
        <f t="shared" si="85"/>
        <v>0</v>
      </c>
      <c r="CV75" s="68">
        <f t="shared" si="86"/>
        <v>0</v>
      </c>
      <c r="CW75" s="68">
        <f t="shared" si="87"/>
        <v>0</v>
      </c>
      <c r="CX75" s="68">
        <f t="shared" si="88"/>
        <v>0</v>
      </c>
      <c r="CY75" s="68">
        <f t="shared" si="89"/>
        <v>0</v>
      </c>
      <c r="CZ75" s="68" t="e">
        <f t="shared" si="90"/>
        <v>#DIV/0!</v>
      </c>
      <c r="DA75" s="68" t="e">
        <f t="shared" si="91"/>
        <v>#DIV/0!</v>
      </c>
      <c r="DB75" s="68" t="e">
        <f t="shared" si="92"/>
        <v>#DIV/0!</v>
      </c>
      <c r="DC75" s="68" t="e">
        <f t="shared" si="93"/>
        <v>#DIV/0!</v>
      </c>
      <c r="DD75" s="68" t="e">
        <f t="shared" si="94"/>
        <v>#DIV/0!</v>
      </c>
      <c r="DE75" s="68" t="e">
        <f t="shared" si="95"/>
        <v>#DIV/0!</v>
      </c>
      <c r="DF75" s="68" t="e">
        <f t="shared" si="96"/>
        <v>#DIV/0!</v>
      </c>
      <c r="DG75" s="68">
        <f t="shared" si="97"/>
        <v>0.45480516874807669</v>
      </c>
      <c r="DH75" s="68">
        <f t="shared" si="98"/>
        <v>1.3986079121535113</v>
      </c>
      <c r="DI75" s="68">
        <f t="shared" si="99"/>
        <v>1.5707963267948966</v>
      </c>
      <c r="DJ75" s="68" t="e">
        <f t="shared" si="100"/>
        <v>#DIV/0!</v>
      </c>
      <c r="DK75" s="68" t="e">
        <f t="shared" si="101"/>
        <v>#DIV/0!</v>
      </c>
      <c r="DL75" s="68" t="e">
        <f t="shared" si="102"/>
        <v>#DIV/0!</v>
      </c>
      <c r="DM75" s="68" t="e">
        <f t="shared" si="103"/>
        <v>#DIV/0!</v>
      </c>
      <c r="DN75" s="68" t="e">
        <f t="shared" si="104"/>
        <v>#DIV/0!</v>
      </c>
      <c r="DO75" s="68" t="e">
        <f t="shared" si="105"/>
        <v>#DIV/0!</v>
      </c>
      <c r="DP75" s="68" t="e">
        <f t="shared" si="106"/>
        <v>#DIV/0!</v>
      </c>
      <c r="DQ75" s="68" t="e">
        <f t="shared" si="107"/>
        <v>#DIV/0!</v>
      </c>
      <c r="DR75" s="68" t="e">
        <f t="shared" si="108"/>
        <v>#DIV/0!</v>
      </c>
      <c r="DS75" s="68" t="e">
        <f t="shared" si="109"/>
        <v>#DIV/0!</v>
      </c>
      <c r="DT75" s="68" t="e">
        <f t="shared" si="110"/>
        <v>#DIV/0!</v>
      </c>
      <c r="DU75" s="68" t="e">
        <f t="shared" si="111"/>
        <v>#DIV/0!</v>
      </c>
      <c r="DV75" s="68" t="e">
        <f t="shared" si="112"/>
        <v>#DIV/0!</v>
      </c>
      <c r="DW75" s="68" t="e">
        <f t="shared" si="113"/>
        <v>#DIV/0!</v>
      </c>
      <c r="DX75" s="68">
        <f t="shared" si="114"/>
        <v>26.05841667</v>
      </c>
      <c r="DY75" s="68">
        <f t="shared" si="115"/>
        <v>80.134330559999995</v>
      </c>
      <c r="DZ75" s="68" t="e">
        <f t="shared" si="116"/>
        <v>#DIV/0!</v>
      </c>
      <c r="EA75" s="68" t="e">
        <f t="shared" si="117"/>
        <v>#DIV/0!</v>
      </c>
      <c r="EB75" s="68" t="e">
        <f t="shared" si="118"/>
        <v>#DIV/0!</v>
      </c>
      <c r="EC75" s="68" t="e">
        <f t="shared" si="119"/>
        <v>#DIV/0!</v>
      </c>
      <c r="ED75" s="68" t="e">
        <f t="shared" si="120"/>
        <v>#DIV/0!</v>
      </c>
      <c r="EE75" s="68" t="e">
        <f t="shared" si="121"/>
        <v>#DIV/0!</v>
      </c>
      <c r="EF75" s="68" t="e">
        <f t="shared" si="122"/>
        <v>#DIV/0!</v>
      </c>
      <c r="EG75" s="68" t="e">
        <f t="shared" si="123"/>
        <v>#DIV/0!</v>
      </c>
      <c r="EH75" s="68" t="e">
        <f t="shared" si="124"/>
        <v>#DIV/0!</v>
      </c>
      <c r="EI75" s="68" t="e">
        <f t="shared" si="125"/>
        <v>#DIV/0!</v>
      </c>
      <c r="EJ75" s="68" t="e">
        <f t="shared" si="126"/>
        <v>#DIV/0!</v>
      </c>
      <c r="EK75" s="68" t="e">
        <f t="shared" si="127"/>
        <v>#DIV/0!</v>
      </c>
      <c r="EL75" s="68" t="e">
        <f t="shared" si="128"/>
        <v>#DIV/0!</v>
      </c>
      <c r="EM75" s="68" t="e">
        <f t="shared" si="129"/>
        <v>#DIV/0!</v>
      </c>
      <c r="EN75" s="68" t="e">
        <f t="shared" si="130"/>
        <v>#DIV/0!</v>
      </c>
      <c r="EO75" s="68" t="e">
        <f t="shared" si="131"/>
        <v>#DIV/0!</v>
      </c>
      <c r="EP75" s="68" t="e">
        <f t="shared" si="132"/>
        <v>#DIV/0!</v>
      </c>
      <c r="EQ75" s="68" t="e">
        <f t="shared" si="133"/>
        <v>#DIV/0!</v>
      </c>
      <c r="ER75" s="68" t="e">
        <f t="shared" si="134"/>
        <v>#DIV/0!</v>
      </c>
    </row>
    <row r="76" spans="82:148" x14ac:dyDescent="0.25">
      <c r="CD76" s="68" t="s">
        <v>583</v>
      </c>
      <c r="CE76" s="69">
        <f t="shared" si="72"/>
        <v>260330.3</v>
      </c>
      <c r="CF76" s="69">
        <f t="shared" si="73"/>
        <v>800803.59</v>
      </c>
      <c r="CG76" s="70">
        <f t="shared" si="71"/>
        <v>90</v>
      </c>
      <c r="CH76" s="69">
        <f t="shared" si="135"/>
        <v>260330.30001199999</v>
      </c>
      <c r="CI76" s="69">
        <f t="shared" si="136"/>
        <v>800803.59001599997</v>
      </c>
      <c r="CJ76" s="68">
        <f t="shared" si="74"/>
        <v>26.05841667</v>
      </c>
      <c r="CK76" s="68">
        <f t="shared" si="75"/>
        <v>80.134330559999995</v>
      </c>
      <c r="CL76" s="68">
        <f t="shared" si="76"/>
        <v>26.05841667</v>
      </c>
      <c r="CM76" s="68">
        <f t="shared" si="77"/>
        <v>80.134330559999995</v>
      </c>
      <c r="CN76" s="68">
        <f t="shared" si="78"/>
        <v>0</v>
      </c>
      <c r="CO76" s="68">
        <f t="shared" si="79"/>
        <v>0</v>
      </c>
      <c r="CP76" s="68">
        <f t="shared" si="80"/>
        <v>0.43928729614546391</v>
      </c>
      <c r="CQ76" s="68">
        <f t="shared" si="81"/>
        <v>1.0027157713556663</v>
      </c>
      <c r="CR76" s="68">
        <f t="shared" si="82"/>
        <v>0</v>
      </c>
      <c r="CS76" s="68">
        <f t="shared" si="83"/>
        <v>0.48899531699999998</v>
      </c>
      <c r="CT76" s="68">
        <f t="shared" si="84"/>
        <v>0.23911642</v>
      </c>
      <c r="CU76" s="68">
        <f t="shared" si="85"/>
        <v>0</v>
      </c>
      <c r="CV76" s="68">
        <f t="shared" si="86"/>
        <v>0</v>
      </c>
      <c r="CW76" s="68">
        <f t="shared" si="87"/>
        <v>0</v>
      </c>
      <c r="CX76" s="68">
        <f t="shared" si="88"/>
        <v>0</v>
      </c>
      <c r="CY76" s="68">
        <f t="shared" si="89"/>
        <v>0</v>
      </c>
      <c r="CZ76" s="68" t="e">
        <f t="shared" si="90"/>
        <v>#DIV/0!</v>
      </c>
      <c r="DA76" s="68" t="e">
        <f t="shared" si="91"/>
        <v>#DIV/0!</v>
      </c>
      <c r="DB76" s="68" t="e">
        <f t="shared" si="92"/>
        <v>#DIV/0!</v>
      </c>
      <c r="DC76" s="68" t="e">
        <f t="shared" si="93"/>
        <v>#DIV/0!</v>
      </c>
      <c r="DD76" s="68" t="e">
        <f t="shared" si="94"/>
        <v>#DIV/0!</v>
      </c>
      <c r="DE76" s="68" t="e">
        <f t="shared" si="95"/>
        <v>#DIV/0!</v>
      </c>
      <c r="DF76" s="68" t="e">
        <f t="shared" si="96"/>
        <v>#DIV/0!</v>
      </c>
      <c r="DG76" s="68">
        <f t="shared" si="97"/>
        <v>0.45480516874807669</v>
      </c>
      <c r="DH76" s="68">
        <f t="shared" si="98"/>
        <v>1.3986079121535113</v>
      </c>
      <c r="DI76" s="68">
        <f t="shared" si="99"/>
        <v>1.5707963267948966</v>
      </c>
      <c r="DJ76" s="68" t="e">
        <f t="shared" si="100"/>
        <v>#DIV/0!</v>
      </c>
      <c r="DK76" s="68" t="e">
        <f t="shared" si="101"/>
        <v>#DIV/0!</v>
      </c>
      <c r="DL76" s="68" t="e">
        <f t="shared" si="102"/>
        <v>#DIV/0!</v>
      </c>
      <c r="DM76" s="68" t="e">
        <f t="shared" si="103"/>
        <v>#DIV/0!</v>
      </c>
      <c r="DN76" s="68" t="e">
        <f t="shared" si="104"/>
        <v>#DIV/0!</v>
      </c>
      <c r="DO76" s="68" t="e">
        <f t="shared" si="105"/>
        <v>#DIV/0!</v>
      </c>
      <c r="DP76" s="68" t="e">
        <f t="shared" si="106"/>
        <v>#DIV/0!</v>
      </c>
      <c r="DQ76" s="68" t="e">
        <f t="shared" si="107"/>
        <v>#DIV/0!</v>
      </c>
      <c r="DR76" s="68" t="e">
        <f t="shared" si="108"/>
        <v>#DIV/0!</v>
      </c>
      <c r="DS76" s="68" t="e">
        <f t="shared" si="109"/>
        <v>#DIV/0!</v>
      </c>
      <c r="DT76" s="68" t="e">
        <f t="shared" si="110"/>
        <v>#DIV/0!</v>
      </c>
      <c r="DU76" s="68" t="e">
        <f t="shared" si="111"/>
        <v>#DIV/0!</v>
      </c>
      <c r="DV76" s="68" t="e">
        <f t="shared" si="112"/>
        <v>#DIV/0!</v>
      </c>
      <c r="DW76" s="68" t="e">
        <f t="shared" si="113"/>
        <v>#DIV/0!</v>
      </c>
      <c r="DX76" s="68">
        <f t="shared" si="114"/>
        <v>26.05841667</v>
      </c>
      <c r="DY76" s="68">
        <f t="shared" si="115"/>
        <v>80.134330559999995</v>
      </c>
      <c r="DZ76" s="68" t="e">
        <f t="shared" si="116"/>
        <v>#DIV/0!</v>
      </c>
      <c r="EA76" s="68" t="e">
        <f t="shared" si="117"/>
        <v>#DIV/0!</v>
      </c>
      <c r="EB76" s="68" t="e">
        <f t="shared" si="118"/>
        <v>#DIV/0!</v>
      </c>
      <c r="EC76" s="68" t="e">
        <f t="shared" si="119"/>
        <v>#DIV/0!</v>
      </c>
      <c r="ED76" s="68" t="e">
        <f t="shared" si="120"/>
        <v>#DIV/0!</v>
      </c>
      <c r="EE76" s="68" t="e">
        <f t="shared" si="121"/>
        <v>#DIV/0!</v>
      </c>
      <c r="EF76" s="68" t="e">
        <f t="shared" si="122"/>
        <v>#DIV/0!</v>
      </c>
      <c r="EG76" s="68" t="e">
        <f t="shared" si="123"/>
        <v>#DIV/0!</v>
      </c>
      <c r="EH76" s="68" t="e">
        <f t="shared" si="124"/>
        <v>#DIV/0!</v>
      </c>
      <c r="EI76" s="68" t="e">
        <f t="shared" si="125"/>
        <v>#DIV/0!</v>
      </c>
      <c r="EJ76" s="68" t="e">
        <f t="shared" si="126"/>
        <v>#DIV/0!</v>
      </c>
      <c r="EK76" s="68" t="e">
        <f t="shared" si="127"/>
        <v>#DIV/0!</v>
      </c>
      <c r="EL76" s="68" t="e">
        <f t="shared" si="128"/>
        <v>#DIV/0!</v>
      </c>
      <c r="EM76" s="68" t="e">
        <f t="shared" si="129"/>
        <v>#DIV/0!</v>
      </c>
      <c r="EN76" s="68" t="e">
        <f t="shared" si="130"/>
        <v>#DIV/0!</v>
      </c>
      <c r="EO76" s="68" t="e">
        <f t="shared" si="131"/>
        <v>#DIV/0!</v>
      </c>
      <c r="EP76" s="68" t="e">
        <f t="shared" si="132"/>
        <v>#DIV/0!</v>
      </c>
      <c r="EQ76" s="68" t="e">
        <f t="shared" si="133"/>
        <v>#DIV/0!</v>
      </c>
      <c r="ER76" s="68" t="e">
        <f t="shared" si="134"/>
        <v>#DIV/0!</v>
      </c>
    </row>
    <row r="77" spans="82:148" x14ac:dyDescent="0.25">
      <c r="CD77" s="68" t="s">
        <v>584</v>
      </c>
      <c r="CE77" s="69">
        <f t="shared" si="72"/>
        <v>260330.3</v>
      </c>
      <c r="CF77" s="69">
        <f t="shared" si="73"/>
        <v>800803.59</v>
      </c>
      <c r="CG77" s="70">
        <f t="shared" si="71"/>
        <v>90</v>
      </c>
      <c r="CH77" s="69">
        <f t="shared" si="135"/>
        <v>260330.30001199999</v>
      </c>
      <c r="CI77" s="69">
        <f t="shared" si="136"/>
        <v>800803.59001599997</v>
      </c>
      <c r="CJ77" s="68">
        <f t="shared" si="74"/>
        <v>26.05841667</v>
      </c>
      <c r="CK77" s="68">
        <f t="shared" si="75"/>
        <v>80.134330559999995</v>
      </c>
      <c r="CL77" s="68">
        <f t="shared" si="76"/>
        <v>26.05841667</v>
      </c>
      <c r="CM77" s="68">
        <f t="shared" si="77"/>
        <v>80.134330559999995</v>
      </c>
      <c r="CN77" s="68">
        <f t="shared" si="78"/>
        <v>0</v>
      </c>
      <c r="CO77" s="68">
        <f t="shared" si="79"/>
        <v>0</v>
      </c>
      <c r="CP77" s="68">
        <f t="shared" si="80"/>
        <v>0.43928729614546391</v>
      </c>
      <c r="CQ77" s="68">
        <f t="shared" si="81"/>
        <v>1.0027157713556663</v>
      </c>
      <c r="CR77" s="68">
        <f t="shared" si="82"/>
        <v>0</v>
      </c>
      <c r="CS77" s="68">
        <f t="shared" si="83"/>
        <v>0.48899531699999998</v>
      </c>
      <c r="CT77" s="68">
        <f t="shared" si="84"/>
        <v>0.23911642</v>
      </c>
      <c r="CU77" s="68">
        <f t="shared" si="85"/>
        <v>0</v>
      </c>
      <c r="CV77" s="68">
        <f t="shared" si="86"/>
        <v>0</v>
      </c>
      <c r="CW77" s="68">
        <f t="shared" si="87"/>
        <v>0</v>
      </c>
      <c r="CX77" s="68">
        <f t="shared" si="88"/>
        <v>0</v>
      </c>
      <c r="CY77" s="68">
        <f t="shared" si="89"/>
        <v>0</v>
      </c>
      <c r="CZ77" s="68" t="e">
        <f t="shared" si="90"/>
        <v>#DIV/0!</v>
      </c>
      <c r="DA77" s="68" t="e">
        <f t="shared" si="91"/>
        <v>#DIV/0!</v>
      </c>
      <c r="DB77" s="68" t="e">
        <f t="shared" si="92"/>
        <v>#DIV/0!</v>
      </c>
      <c r="DC77" s="68" t="e">
        <f t="shared" si="93"/>
        <v>#DIV/0!</v>
      </c>
      <c r="DD77" s="68" t="e">
        <f t="shared" si="94"/>
        <v>#DIV/0!</v>
      </c>
      <c r="DE77" s="68" t="e">
        <f t="shared" si="95"/>
        <v>#DIV/0!</v>
      </c>
      <c r="DF77" s="68" t="e">
        <f t="shared" si="96"/>
        <v>#DIV/0!</v>
      </c>
      <c r="DG77" s="68">
        <f t="shared" si="97"/>
        <v>0.45480516874807669</v>
      </c>
      <c r="DH77" s="68">
        <f t="shared" si="98"/>
        <v>1.3986079121535113</v>
      </c>
      <c r="DI77" s="68">
        <f t="shared" si="99"/>
        <v>1.5707963267948966</v>
      </c>
      <c r="DJ77" s="68" t="e">
        <f t="shared" si="100"/>
        <v>#DIV/0!</v>
      </c>
      <c r="DK77" s="68" t="e">
        <f t="shared" si="101"/>
        <v>#DIV/0!</v>
      </c>
      <c r="DL77" s="68" t="e">
        <f t="shared" si="102"/>
        <v>#DIV/0!</v>
      </c>
      <c r="DM77" s="68" t="e">
        <f t="shared" si="103"/>
        <v>#DIV/0!</v>
      </c>
      <c r="DN77" s="68" t="e">
        <f t="shared" si="104"/>
        <v>#DIV/0!</v>
      </c>
      <c r="DO77" s="68" t="e">
        <f t="shared" si="105"/>
        <v>#DIV/0!</v>
      </c>
      <c r="DP77" s="68" t="e">
        <f t="shared" si="106"/>
        <v>#DIV/0!</v>
      </c>
      <c r="DQ77" s="68" t="e">
        <f t="shared" si="107"/>
        <v>#DIV/0!</v>
      </c>
      <c r="DR77" s="68" t="e">
        <f t="shared" si="108"/>
        <v>#DIV/0!</v>
      </c>
      <c r="DS77" s="68" t="e">
        <f t="shared" si="109"/>
        <v>#DIV/0!</v>
      </c>
      <c r="DT77" s="68" t="e">
        <f t="shared" si="110"/>
        <v>#DIV/0!</v>
      </c>
      <c r="DU77" s="68" t="e">
        <f t="shared" si="111"/>
        <v>#DIV/0!</v>
      </c>
      <c r="DV77" s="68" t="e">
        <f t="shared" si="112"/>
        <v>#DIV/0!</v>
      </c>
      <c r="DW77" s="68" t="e">
        <f t="shared" si="113"/>
        <v>#DIV/0!</v>
      </c>
      <c r="DX77" s="68">
        <f t="shared" si="114"/>
        <v>26.05841667</v>
      </c>
      <c r="DY77" s="68">
        <f t="shared" si="115"/>
        <v>80.134330559999995</v>
      </c>
      <c r="DZ77" s="68" t="e">
        <f t="shared" si="116"/>
        <v>#DIV/0!</v>
      </c>
      <c r="EA77" s="68" t="e">
        <f t="shared" si="117"/>
        <v>#DIV/0!</v>
      </c>
      <c r="EB77" s="68" t="e">
        <f t="shared" si="118"/>
        <v>#DIV/0!</v>
      </c>
      <c r="EC77" s="68" t="e">
        <f t="shared" si="119"/>
        <v>#DIV/0!</v>
      </c>
      <c r="ED77" s="68" t="e">
        <f t="shared" si="120"/>
        <v>#DIV/0!</v>
      </c>
      <c r="EE77" s="68" t="e">
        <f t="shared" si="121"/>
        <v>#DIV/0!</v>
      </c>
      <c r="EF77" s="68" t="e">
        <f t="shared" si="122"/>
        <v>#DIV/0!</v>
      </c>
      <c r="EG77" s="68" t="e">
        <f t="shared" si="123"/>
        <v>#DIV/0!</v>
      </c>
      <c r="EH77" s="68" t="e">
        <f t="shared" si="124"/>
        <v>#DIV/0!</v>
      </c>
      <c r="EI77" s="68" t="e">
        <f t="shared" si="125"/>
        <v>#DIV/0!</v>
      </c>
      <c r="EJ77" s="68" t="e">
        <f t="shared" si="126"/>
        <v>#DIV/0!</v>
      </c>
      <c r="EK77" s="68" t="e">
        <f t="shared" si="127"/>
        <v>#DIV/0!</v>
      </c>
      <c r="EL77" s="68" t="e">
        <f t="shared" si="128"/>
        <v>#DIV/0!</v>
      </c>
      <c r="EM77" s="68" t="e">
        <f t="shared" si="129"/>
        <v>#DIV/0!</v>
      </c>
      <c r="EN77" s="68" t="e">
        <f t="shared" si="130"/>
        <v>#DIV/0!</v>
      </c>
      <c r="EO77" s="68" t="e">
        <f t="shared" si="131"/>
        <v>#DIV/0!</v>
      </c>
      <c r="EP77" s="68" t="e">
        <f t="shared" si="132"/>
        <v>#DIV/0!</v>
      </c>
      <c r="EQ77" s="68" t="e">
        <f t="shared" si="133"/>
        <v>#DIV/0!</v>
      </c>
      <c r="ER77" s="68" t="e">
        <f t="shared" si="134"/>
        <v>#DIV/0!</v>
      </c>
    </row>
    <row r="78" spans="82:148" x14ac:dyDescent="0.25">
      <c r="CD78" s="68" t="s">
        <v>585</v>
      </c>
      <c r="CE78" s="69">
        <f t="shared" si="72"/>
        <v>260330.3</v>
      </c>
      <c r="CF78" s="69">
        <f t="shared" si="73"/>
        <v>800803.59</v>
      </c>
      <c r="CG78" s="70">
        <f t="shared" si="71"/>
        <v>90</v>
      </c>
      <c r="CH78" s="69">
        <f t="shared" si="135"/>
        <v>260330.30001199999</v>
      </c>
      <c r="CI78" s="69">
        <f t="shared" si="136"/>
        <v>800803.59001599997</v>
      </c>
      <c r="CJ78" s="68">
        <f t="shared" si="74"/>
        <v>26.05841667</v>
      </c>
      <c r="CK78" s="68">
        <f t="shared" si="75"/>
        <v>80.134330559999995</v>
      </c>
      <c r="CL78" s="68">
        <f t="shared" si="76"/>
        <v>26.05841667</v>
      </c>
      <c r="CM78" s="68">
        <f t="shared" si="77"/>
        <v>80.134330559999995</v>
      </c>
      <c r="CN78" s="68">
        <f t="shared" si="78"/>
        <v>0</v>
      </c>
      <c r="CO78" s="68">
        <f t="shared" si="79"/>
        <v>0</v>
      </c>
      <c r="CP78" s="68">
        <f t="shared" si="80"/>
        <v>0.43928729614546391</v>
      </c>
      <c r="CQ78" s="68">
        <f t="shared" si="81"/>
        <v>1.0027157713556663</v>
      </c>
      <c r="CR78" s="68">
        <f t="shared" si="82"/>
        <v>0</v>
      </c>
      <c r="CS78" s="68">
        <f t="shared" si="83"/>
        <v>0.48899531699999998</v>
      </c>
      <c r="CT78" s="68">
        <f t="shared" si="84"/>
        <v>0.23911642</v>
      </c>
      <c r="CU78" s="68">
        <f t="shared" si="85"/>
        <v>0</v>
      </c>
      <c r="CV78" s="68">
        <f t="shared" si="86"/>
        <v>0</v>
      </c>
      <c r="CW78" s="68">
        <f t="shared" si="87"/>
        <v>0</v>
      </c>
      <c r="CX78" s="68">
        <f t="shared" si="88"/>
        <v>0</v>
      </c>
      <c r="CY78" s="68">
        <f t="shared" si="89"/>
        <v>0</v>
      </c>
      <c r="CZ78" s="68" t="e">
        <f t="shared" si="90"/>
        <v>#DIV/0!</v>
      </c>
      <c r="DA78" s="68" t="e">
        <f t="shared" si="91"/>
        <v>#DIV/0!</v>
      </c>
      <c r="DB78" s="68" t="e">
        <f t="shared" si="92"/>
        <v>#DIV/0!</v>
      </c>
      <c r="DC78" s="68" t="e">
        <f t="shared" si="93"/>
        <v>#DIV/0!</v>
      </c>
      <c r="DD78" s="68" t="e">
        <f t="shared" si="94"/>
        <v>#DIV/0!</v>
      </c>
      <c r="DE78" s="68" t="e">
        <f t="shared" si="95"/>
        <v>#DIV/0!</v>
      </c>
      <c r="DF78" s="68" t="e">
        <f t="shared" si="96"/>
        <v>#DIV/0!</v>
      </c>
      <c r="DG78" s="68">
        <f t="shared" si="97"/>
        <v>0.45480516874807669</v>
      </c>
      <c r="DH78" s="68">
        <f t="shared" si="98"/>
        <v>1.3986079121535113</v>
      </c>
      <c r="DI78" s="68">
        <f t="shared" si="99"/>
        <v>1.5707963267948966</v>
      </c>
      <c r="DJ78" s="68" t="e">
        <f t="shared" si="100"/>
        <v>#DIV/0!</v>
      </c>
      <c r="DK78" s="68" t="e">
        <f t="shared" si="101"/>
        <v>#DIV/0!</v>
      </c>
      <c r="DL78" s="68" t="e">
        <f t="shared" si="102"/>
        <v>#DIV/0!</v>
      </c>
      <c r="DM78" s="68" t="e">
        <f t="shared" si="103"/>
        <v>#DIV/0!</v>
      </c>
      <c r="DN78" s="68" t="e">
        <f t="shared" si="104"/>
        <v>#DIV/0!</v>
      </c>
      <c r="DO78" s="68" t="e">
        <f t="shared" si="105"/>
        <v>#DIV/0!</v>
      </c>
      <c r="DP78" s="68" t="e">
        <f t="shared" si="106"/>
        <v>#DIV/0!</v>
      </c>
      <c r="DQ78" s="68" t="e">
        <f t="shared" si="107"/>
        <v>#DIV/0!</v>
      </c>
      <c r="DR78" s="68" t="e">
        <f t="shared" si="108"/>
        <v>#DIV/0!</v>
      </c>
      <c r="DS78" s="68" t="e">
        <f t="shared" si="109"/>
        <v>#DIV/0!</v>
      </c>
      <c r="DT78" s="68" t="e">
        <f t="shared" si="110"/>
        <v>#DIV/0!</v>
      </c>
      <c r="DU78" s="68" t="e">
        <f t="shared" si="111"/>
        <v>#DIV/0!</v>
      </c>
      <c r="DV78" s="68" t="e">
        <f t="shared" si="112"/>
        <v>#DIV/0!</v>
      </c>
      <c r="DW78" s="68" t="e">
        <f t="shared" si="113"/>
        <v>#DIV/0!</v>
      </c>
      <c r="DX78" s="68">
        <f t="shared" si="114"/>
        <v>26.05841667</v>
      </c>
      <c r="DY78" s="68">
        <f t="shared" si="115"/>
        <v>80.134330559999995</v>
      </c>
      <c r="DZ78" s="68" t="e">
        <f t="shared" si="116"/>
        <v>#DIV/0!</v>
      </c>
      <c r="EA78" s="68" t="e">
        <f t="shared" si="117"/>
        <v>#DIV/0!</v>
      </c>
      <c r="EB78" s="68" t="e">
        <f t="shared" si="118"/>
        <v>#DIV/0!</v>
      </c>
      <c r="EC78" s="68" t="e">
        <f t="shared" si="119"/>
        <v>#DIV/0!</v>
      </c>
      <c r="ED78" s="68" t="e">
        <f t="shared" si="120"/>
        <v>#DIV/0!</v>
      </c>
      <c r="EE78" s="68" t="e">
        <f t="shared" si="121"/>
        <v>#DIV/0!</v>
      </c>
      <c r="EF78" s="68" t="e">
        <f t="shared" si="122"/>
        <v>#DIV/0!</v>
      </c>
      <c r="EG78" s="68" t="e">
        <f t="shared" si="123"/>
        <v>#DIV/0!</v>
      </c>
      <c r="EH78" s="68" t="e">
        <f t="shared" si="124"/>
        <v>#DIV/0!</v>
      </c>
      <c r="EI78" s="68" t="e">
        <f t="shared" si="125"/>
        <v>#DIV/0!</v>
      </c>
      <c r="EJ78" s="68" t="e">
        <f t="shared" si="126"/>
        <v>#DIV/0!</v>
      </c>
      <c r="EK78" s="68" t="e">
        <f t="shared" si="127"/>
        <v>#DIV/0!</v>
      </c>
      <c r="EL78" s="68" t="e">
        <f t="shared" si="128"/>
        <v>#DIV/0!</v>
      </c>
      <c r="EM78" s="68" t="e">
        <f t="shared" si="129"/>
        <v>#DIV/0!</v>
      </c>
      <c r="EN78" s="68" t="e">
        <f t="shared" si="130"/>
        <v>#DIV/0!</v>
      </c>
      <c r="EO78" s="68" t="e">
        <f t="shared" si="131"/>
        <v>#DIV/0!</v>
      </c>
      <c r="EP78" s="68" t="e">
        <f t="shared" si="132"/>
        <v>#DIV/0!</v>
      </c>
      <c r="EQ78" s="68" t="e">
        <f t="shared" si="133"/>
        <v>#DIV/0!</v>
      </c>
      <c r="ER78" s="68" t="e">
        <f t="shared" si="134"/>
        <v>#DIV/0!</v>
      </c>
    </row>
    <row r="79" spans="82:148" x14ac:dyDescent="0.25">
      <c r="CD79" s="68" t="s">
        <v>586</v>
      </c>
      <c r="CE79" s="69">
        <f t="shared" si="72"/>
        <v>260330.3</v>
      </c>
      <c r="CF79" s="69">
        <f t="shared" si="73"/>
        <v>800803.59</v>
      </c>
      <c r="CG79" s="70">
        <f t="shared" si="71"/>
        <v>90</v>
      </c>
      <c r="CH79" s="69">
        <f t="shared" si="135"/>
        <v>260330.30001199999</v>
      </c>
      <c r="CI79" s="69">
        <f t="shared" si="136"/>
        <v>800803.59001599997</v>
      </c>
      <c r="CJ79" s="68">
        <f t="shared" si="74"/>
        <v>26.05841667</v>
      </c>
      <c r="CK79" s="68">
        <f t="shared" si="75"/>
        <v>80.134330559999995</v>
      </c>
      <c r="CL79" s="68">
        <f t="shared" si="76"/>
        <v>26.05841667</v>
      </c>
      <c r="CM79" s="68">
        <f t="shared" si="77"/>
        <v>80.134330559999995</v>
      </c>
      <c r="CN79" s="68">
        <f t="shared" si="78"/>
        <v>0</v>
      </c>
      <c r="CO79" s="68">
        <f t="shared" si="79"/>
        <v>0</v>
      </c>
      <c r="CP79" s="68">
        <f t="shared" si="80"/>
        <v>0.43928729614546391</v>
      </c>
      <c r="CQ79" s="68">
        <f t="shared" si="81"/>
        <v>1.0027157713556663</v>
      </c>
      <c r="CR79" s="68">
        <f t="shared" si="82"/>
        <v>0</v>
      </c>
      <c r="CS79" s="68">
        <f t="shared" si="83"/>
        <v>0.48899531699999998</v>
      </c>
      <c r="CT79" s="68">
        <f t="shared" si="84"/>
        <v>0.23911642</v>
      </c>
      <c r="CU79" s="68">
        <f t="shared" si="85"/>
        <v>0</v>
      </c>
      <c r="CV79" s="68">
        <f t="shared" si="86"/>
        <v>0</v>
      </c>
      <c r="CW79" s="68">
        <f t="shared" si="87"/>
        <v>0</v>
      </c>
      <c r="CX79" s="68">
        <f t="shared" si="88"/>
        <v>0</v>
      </c>
      <c r="CY79" s="68">
        <f t="shared" si="89"/>
        <v>0</v>
      </c>
      <c r="CZ79" s="68" t="e">
        <f t="shared" si="90"/>
        <v>#DIV/0!</v>
      </c>
      <c r="DA79" s="68" t="e">
        <f t="shared" si="91"/>
        <v>#DIV/0!</v>
      </c>
      <c r="DB79" s="68" t="e">
        <f t="shared" si="92"/>
        <v>#DIV/0!</v>
      </c>
      <c r="DC79" s="68" t="e">
        <f t="shared" si="93"/>
        <v>#DIV/0!</v>
      </c>
      <c r="DD79" s="68" t="e">
        <f t="shared" si="94"/>
        <v>#DIV/0!</v>
      </c>
      <c r="DE79" s="68" t="e">
        <f t="shared" si="95"/>
        <v>#DIV/0!</v>
      </c>
      <c r="DF79" s="68" t="e">
        <f t="shared" si="96"/>
        <v>#DIV/0!</v>
      </c>
      <c r="DG79" s="68">
        <f t="shared" si="97"/>
        <v>0.45480516874807669</v>
      </c>
      <c r="DH79" s="68">
        <f t="shared" si="98"/>
        <v>1.3986079121535113</v>
      </c>
      <c r="DI79" s="68">
        <f t="shared" si="99"/>
        <v>1.5707963267948966</v>
      </c>
      <c r="DJ79" s="68" t="e">
        <f t="shared" si="100"/>
        <v>#DIV/0!</v>
      </c>
      <c r="DK79" s="68" t="e">
        <f t="shared" si="101"/>
        <v>#DIV/0!</v>
      </c>
      <c r="DL79" s="68" t="e">
        <f t="shared" si="102"/>
        <v>#DIV/0!</v>
      </c>
      <c r="DM79" s="68" t="e">
        <f t="shared" si="103"/>
        <v>#DIV/0!</v>
      </c>
      <c r="DN79" s="68" t="e">
        <f t="shared" si="104"/>
        <v>#DIV/0!</v>
      </c>
      <c r="DO79" s="68" t="e">
        <f t="shared" si="105"/>
        <v>#DIV/0!</v>
      </c>
      <c r="DP79" s="68" t="e">
        <f t="shared" si="106"/>
        <v>#DIV/0!</v>
      </c>
      <c r="DQ79" s="68" t="e">
        <f t="shared" si="107"/>
        <v>#DIV/0!</v>
      </c>
      <c r="DR79" s="68" t="e">
        <f t="shared" si="108"/>
        <v>#DIV/0!</v>
      </c>
      <c r="DS79" s="68" t="e">
        <f t="shared" si="109"/>
        <v>#DIV/0!</v>
      </c>
      <c r="DT79" s="68" t="e">
        <f t="shared" si="110"/>
        <v>#DIV/0!</v>
      </c>
      <c r="DU79" s="68" t="e">
        <f t="shared" si="111"/>
        <v>#DIV/0!</v>
      </c>
      <c r="DV79" s="68" t="e">
        <f t="shared" si="112"/>
        <v>#DIV/0!</v>
      </c>
      <c r="DW79" s="68" t="e">
        <f t="shared" si="113"/>
        <v>#DIV/0!</v>
      </c>
      <c r="DX79" s="68">
        <f t="shared" si="114"/>
        <v>26.05841667</v>
      </c>
      <c r="DY79" s="68">
        <f t="shared" si="115"/>
        <v>80.134330559999995</v>
      </c>
      <c r="DZ79" s="68" t="e">
        <f t="shared" si="116"/>
        <v>#DIV/0!</v>
      </c>
      <c r="EA79" s="68" t="e">
        <f t="shared" si="117"/>
        <v>#DIV/0!</v>
      </c>
      <c r="EB79" s="68" t="e">
        <f t="shared" si="118"/>
        <v>#DIV/0!</v>
      </c>
      <c r="EC79" s="68" t="e">
        <f t="shared" si="119"/>
        <v>#DIV/0!</v>
      </c>
      <c r="ED79" s="68" t="e">
        <f t="shared" si="120"/>
        <v>#DIV/0!</v>
      </c>
      <c r="EE79" s="68" t="e">
        <f t="shared" si="121"/>
        <v>#DIV/0!</v>
      </c>
      <c r="EF79" s="68" t="e">
        <f t="shared" si="122"/>
        <v>#DIV/0!</v>
      </c>
      <c r="EG79" s="68" t="e">
        <f t="shared" si="123"/>
        <v>#DIV/0!</v>
      </c>
      <c r="EH79" s="68" t="e">
        <f t="shared" si="124"/>
        <v>#DIV/0!</v>
      </c>
      <c r="EI79" s="68" t="e">
        <f t="shared" si="125"/>
        <v>#DIV/0!</v>
      </c>
      <c r="EJ79" s="68" t="e">
        <f t="shared" si="126"/>
        <v>#DIV/0!</v>
      </c>
      <c r="EK79" s="68" t="e">
        <f t="shared" si="127"/>
        <v>#DIV/0!</v>
      </c>
      <c r="EL79" s="68" t="e">
        <f t="shared" si="128"/>
        <v>#DIV/0!</v>
      </c>
      <c r="EM79" s="68" t="e">
        <f t="shared" si="129"/>
        <v>#DIV/0!</v>
      </c>
      <c r="EN79" s="68" t="e">
        <f t="shared" si="130"/>
        <v>#DIV/0!</v>
      </c>
      <c r="EO79" s="68" t="e">
        <f t="shared" si="131"/>
        <v>#DIV/0!</v>
      </c>
      <c r="EP79" s="68" t="e">
        <f t="shared" si="132"/>
        <v>#DIV/0!</v>
      </c>
      <c r="EQ79" s="68" t="e">
        <f t="shared" si="133"/>
        <v>#DIV/0!</v>
      </c>
      <c r="ER79" s="68" t="e">
        <f t="shared" si="134"/>
        <v>#DIV/0!</v>
      </c>
    </row>
    <row r="80" spans="82:148" x14ac:dyDescent="0.25">
      <c r="CD80" s="68" t="s">
        <v>587</v>
      </c>
      <c r="CE80" s="69">
        <f t="shared" si="72"/>
        <v>260330.3</v>
      </c>
      <c r="CF80" s="69">
        <f t="shared" si="73"/>
        <v>800803.59</v>
      </c>
      <c r="CG80" s="70">
        <f t="shared" si="71"/>
        <v>90</v>
      </c>
      <c r="CH80" s="69">
        <f t="shared" si="135"/>
        <v>260330.30001199999</v>
      </c>
      <c r="CI80" s="69">
        <f t="shared" si="136"/>
        <v>800803.59001599997</v>
      </c>
      <c r="CJ80" s="68">
        <f t="shared" si="74"/>
        <v>26.05841667</v>
      </c>
      <c r="CK80" s="68">
        <f t="shared" si="75"/>
        <v>80.134330559999995</v>
      </c>
      <c r="CL80" s="68">
        <f t="shared" si="76"/>
        <v>26.05841667</v>
      </c>
      <c r="CM80" s="68">
        <f t="shared" si="77"/>
        <v>80.134330559999995</v>
      </c>
      <c r="CN80" s="68">
        <f t="shared" si="78"/>
        <v>0</v>
      </c>
      <c r="CO80" s="68">
        <f t="shared" si="79"/>
        <v>0</v>
      </c>
      <c r="CP80" s="68">
        <f t="shared" si="80"/>
        <v>0.43928729614546391</v>
      </c>
      <c r="CQ80" s="68">
        <f t="shared" si="81"/>
        <v>1.0027157713556663</v>
      </c>
      <c r="CR80" s="68">
        <f t="shared" si="82"/>
        <v>0</v>
      </c>
      <c r="CS80" s="68">
        <f t="shared" si="83"/>
        <v>0.48899531699999998</v>
      </c>
      <c r="CT80" s="68">
        <f t="shared" si="84"/>
        <v>0.23911642</v>
      </c>
      <c r="CU80" s="68">
        <f t="shared" si="85"/>
        <v>0</v>
      </c>
      <c r="CV80" s="68">
        <f t="shared" si="86"/>
        <v>0</v>
      </c>
      <c r="CW80" s="68">
        <f t="shared" si="87"/>
        <v>0</v>
      </c>
      <c r="CX80" s="68">
        <f t="shared" si="88"/>
        <v>0</v>
      </c>
      <c r="CY80" s="68">
        <f t="shared" si="89"/>
        <v>0</v>
      </c>
      <c r="CZ80" s="68" t="e">
        <f t="shared" si="90"/>
        <v>#DIV/0!</v>
      </c>
      <c r="DA80" s="68" t="e">
        <f t="shared" si="91"/>
        <v>#DIV/0!</v>
      </c>
      <c r="DB80" s="68" t="e">
        <f t="shared" si="92"/>
        <v>#DIV/0!</v>
      </c>
      <c r="DC80" s="68" t="e">
        <f t="shared" si="93"/>
        <v>#DIV/0!</v>
      </c>
      <c r="DD80" s="68" t="e">
        <f t="shared" si="94"/>
        <v>#DIV/0!</v>
      </c>
      <c r="DE80" s="68" t="e">
        <f t="shared" si="95"/>
        <v>#DIV/0!</v>
      </c>
      <c r="DF80" s="68" t="e">
        <f t="shared" si="96"/>
        <v>#DIV/0!</v>
      </c>
      <c r="DG80" s="68">
        <f t="shared" si="97"/>
        <v>0.45480516874807669</v>
      </c>
      <c r="DH80" s="68">
        <f t="shared" si="98"/>
        <v>1.3986079121535113</v>
      </c>
      <c r="DI80" s="68">
        <f t="shared" si="99"/>
        <v>1.5707963267948966</v>
      </c>
      <c r="DJ80" s="68" t="e">
        <f t="shared" si="100"/>
        <v>#DIV/0!</v>
      </c>
      <c r="DK80" s="68" t="e">
        <f t="shared" si="101"/>
        <v>#DIV/0!</v>
      </c>
      <c r="DL80" s="68" t="e">
        <f t="shared" si="102"/>
        <v>#DIV/0!</v>
      </c>
      <c r="DM80" s="68" t="e">
        <f t="shared" si="103"/>
        <v>#DIV/0!</v>
      </c>
      <c r="DN80" s="68" t="e">
        <f t="shared" si="104"/>
        <v>#DIV/0!</v>
      </c>
      <c r="DO80" s="68" t="e">
        <f t="shared" si="105"/>
        <v>#DIV/0!</v>
      </c>
      <c r="DP80" s="68" t="e">
        <f t="shared" si="106"/>
        <v>#DIV/0!</v>
      </c>
      <c r="DQ80" s="68" t="e">
        <f t="shared" si="107"/>
        <v>#DIV/0!</v>
      </c>
      <c r="DR80" s="68" t="e">
        <f t="shared" si="108"/>
        <v>#DIV/0!</v>
      </c>
      <c r="DS80" s="68" t="e">
        <f t="shared" si="109"/>
        <v>#DIV/0!</v>
      </c>
      <c r="DT80" s="68" t="e">
        <f t="shared" si="110"/>
        <v>#DIV/0!</v>
      </c>
      <c r="DU80" s="68" t="e">
        <f t="shared" si="111"/>
        <v>#DIV/0!</v>
      </c>
      <c r="DV80" s="68" t="e">
        <f t="shared" si="112"/>
        <v>#DIV/0!</v>
      </c>
      <c r="DW80" s="68" t="e">
        <f t="shared" si="113"/>
        <v>#DIV/0!</v>
      </c>
      <c r="DX80" s="68">
        <f t="shared" si="114"/>
        <v>26.05841667</v>
      </c>
      <c r="DY80" s="68">
        <f t="shared" si="115"/>
        <v>80.134330559999995</v>
      </c>
      <c r="DZ80" s="68" t="e">
        <f t="shared" si="116"/>
        <v>#DIV/0!</v>
      </c>
      <c r="EA80" s="68" t="e">
        <f t="shared" si="117"/>
        <v>#DIV/0!</v>
      </c>
      <c r="EB80" s="68" t="e">
        <f t="shared" si="118"/>
        <v>#DIV/0!</v>
      </c>
      <c r="EC80" s="68" t="e">
        <f t="shared" si="119"/>
        <v>#DIV/0!</v>
      </c>
      <c r="ED80" s="68" t="e">
        <f t="shared" si="120"/>
        <v>#DIV/0!</v>
      </c>
      <c r="EE80" s="68" t="e">
        <f t="shared" si="121"/>
        <v>#DIV/0!</v>
      </c>
      <c r="EF80" s="68" t="e">
        <f t="shared" si="122"/>
        <v>#DIV/0!</v>
      </c>
      <c r="EG80" s="68" t="e">
        <f t="shared" si="123"/>
        <v>#DIV/0!</v>
      </c>
      <c r="EH80" s="68" t="e">
        <f t="shared" si="124"/>
        <v>#DIV/0!</v>
      </c>
      <c r="EI80" s="68" t="e">
        <f t="shared" si="125"/>
        <v>#DIV/0!</v>
      </c>
      <c r="EJ80" s="68" t="e">
        <f t="shared" si="126"/>
        <v>#DIV/0!</v>
      </c>
      <c r="EK80" s="68" t="e">
        <f t="shared" si="127"/>
        <v>#DIV/0!</v>
      </c>
      <c r="EL80" s="68" t="e">
        <f t="shared" si="128"/>
        <v>#DIV/0!</v>
      </c>
      <c r="EM80" s="68" t="e">
        <f t="shared" si="129"/>
        <v>#DIV/0!</v>
      </c>
      <c r="EN80" s="68" t="e">
        <f t="shared" si="130"/>
        <v>#DIV/0!</v>
      </c>
      <c r="EO80" s="68" t="e">
        <f t="shared" si="131"/>
        <v>#DIV/0!</v>
      </c>
      <c r="EP80" s="68" t="e">
        <f t="shared" si="132"/>
        <v>#DIV/0!</v>
      </c>
      <c r="EQ80" s="68" t="e">
        <f t="shared" si="133"/>
        <v>#DIV/0!</v>
      </c>
      <c r="ER80" s="68" t="e">
        <f t="shared" si="134"/>
        <v>#DIV/0!</v>
      </c>
    </row>
    <row r="81" spans="82:148" x14ac:dyDescent="0.25">
      <c r="CD81" s="68" t="s">
        <v>588</v>
      </c>
      <c r="CE81" s="69">
        <f t="shared" si="72"/>
        <v>260330.3</v>
      </c>
      <c r="CF81" s="69">
        <f t="shared" si="73"/>
        <v>800803.59</v>
      </c>
      <c r="CG81" s="70">
        <f t="shared" si="71"/>
        <v>90</v>
      </c>
      <c r="CH81" s="69">
        <f t="shared" si="135"/>
        <v>260330.30001199999</v>
      </c>
      <c r="CI81" s="69">
        <f t="shared" si="136"/>
        <v>800803.59001599997</v>
      </c>
      <c r="CJ81" s="68">
        <f t="shared" si="74"/>
        <v>26.05841667</v>
      </c>
      <c r="CK81" s="68">
        <f t="shared" si="75"/>
        <v>80.134330559999995</v>
      </c>
      <c r="CL81" s="68">
        <f t="shared" si="76"/>
        <v>26.05841667</v>
      </c>
      <c r="CM81" s="68">
        <f t="shared" si="77"/>
        <v>80.134330559999995</v>
      </c>
      <c r="CN81" s="68">
        <f t="shared" si="78"/>
        <v>0</v>
      </c>
      <c r="CO81" s="68">
        <f t="shared" si="79"/>
        <v>0</v>
      </c>
      <c r="CP81" s="68">
        <f t="shared" si="80"/>
        <v>0.43928729614546391</v>
      </c>
      <c r="CQ81" s="68">
        <f t="shared" si="81"/>
        <v>1.0027157713556663</v>
      </c>
      <c r="CR81" s="68">
        <f t="shared" si="82"/>
        <v>0</v>
      </c>
      <c r="CS81" s="68">
        <f t="shared" si="83"/>
        <v>0.48899531699999998</v>
      </c>
      <c r="CT81" s="68">
        <f t="shared" si="84"/>
        <v>0.23911642</v>
      </c>
      <c r="CU81" s="68">
        <f t="shared" si="85"/>
        <v>0</v>
      </c>
      <c r="CV81" s="68">
        <f t="shared" si="86"/>
        <v>0</v>
      </c>
      <c r="CW81" s="68">
        <f t="shared" si="87"/>
        <v>0</v>
      </c>
      <c r="CX81" s="68">
        <f t="shared" si="88"/>
        <v>0</v>
      </c>
      <c r="CY81" s="68">
        <f t="shared" si="89"/>
        <v>0</v>
      </c>
      <c r="CZ81" s="68" t="e">
        <f t="shared" si="90"/>
        <v>#DIV/0!</v>
      </c>
      <c r="DA81" s="68" t="e">
        <f t="shared" si="91"/>
        <v>#DIV/0!</v>
      </c>
      <c r="DB81" s="68" t="e">
        <f t="shared" si="92"/>
        <v>#DIV/0!</v>
      </c>
      <c r="DC81" s="68" t="e">
        <f t="shared" si="93"/>
        <v>#DIV/0!</v>
      </c>
      <c r="DD81" s="68" t="e">
        <f t="shared" si="94"/>
        <v>#DIV/0!</v>
      </c>
      <c r="DE81" s="68" t="e">
        <f t="shared" si="95"/>
        <v>#DIV/0!</v>
      </c>
      <c r="DF81" s="68" t="e">
        <f t="shared" si="96"/>
        <v>#DIV/0!</v>
      </c>
      <c r="DG81" s="68">
        <f t="shared" si="97"/>
        <v>0.45480516874807669</v>
      </c>
      <c r="DH81" s="68">
        <f t="shared" si="98"/>
        <v>1.3986079121535113</v>
      </c>
      <c r="DI81" s="68">
        <f t="shared" si="99"/>
        <v>1.5707963267948966</v>
      </c>
      <c r="DJ81" s="68" t="e">
        <f t="shared" si="100"/>
        <v>#DIV/0!</v>
      </c>
      <c r="DK81" s="68" t="e">
        <f t="shared" si="101"/>
        <v>#DIV/0!</v>
      </c>
      <c r="DL81" s="68" t="e">
        <f t="shared" si="102"/>
        <v>#DIV/0!</v>
      </c>
      <c r="DM81" s="68" t="e">
        <f t="shared" si="103"/>
        <v>#DIV/0!</v>
      </c>
      <c r="DN81" s="68" t="e">
        <f t="shared" si="104"/>
        <v>#DIV/0!</v>
      </c>
      <c r="DO81" s="68" t="e">
        <f t="shared" si="105"/>
        <v>#DIV/0!</v>
      </c>
      <c r="DP81" s="68" t="e">
        <f t="shared" si="106"/>
        <v>#DIV/0!</v>
      </c>
      <c r="DQ81" s="68" t="e">
        <f t="shared" si="107"/>
        <v>#DIV/0!</v>
      </c>
      <c r="DR81" s="68" t="e">
        <f t="shared" si="108"/>
        <v>#DIV/0!</v>
      </c>
      <c r="DS81" s="68" t="e">
        <f t="shared" si="109"/>
        <v>#DIV/0!</v>
      </c>
      <c r="DT81" s="68" t="e">
        <f t="shared" si="110"/>
        <v>#DIV/0!</v>
      </c>
      <c r="DU81" s="68" t="e">
        <f t="shared" si="111"/>
        <v>#DIV/0!</v>
      </c>
      <c r="DV81" s="68" t="e">
        <f t="shared" si="112"/>
        <v>#DIV/0!</v>
      </c>
      <c r="DW81" s="68" t="e">
        <f t="shared" si="113"/>
        <v>#DIV/0!</v>
      </c>
      <c r="DX81" s="68">
        <f t="shared" si="114"/>
        <v>26.05841667</v>
      </c>
      <c r="DY81" s="68">
        <f t="shared" si="115"/>
        <v>80.134330559999995</v>
      </c>
      <c r="DZ81" s="68" t="e">
        <f t="shared" si="116"/>
        <v>#DIV/0!</v>
      </c>
      <c r="EA81" s="68" t="e">
        <f t="shared" si="117"/>
        <v>#DIV/0!</v>
      </c>
      <c r="EB81" s="68" t="e">
        <f t="shared" si="118"/>
        <v>#DIV/0!</v>
      </c>
      <c r="EC81" s="68" t="e">
        <f t="shared" si="119"/>
        <v>#DIV/0!</v>
      </c>
      <c r="ED81" s="68" t="e">
        <f t="shared" si="120"/>
        <v>#DIV/0!</v>
      </c>
      <c r="EE81" s="68" t="e">
        <f t="shared" si="121"/>
        <v>#DIV/0!</v>
      </c>
      <c r="EF81" s="68" t="e">
        <f t="shared" si="122"/>
        <v>#DIV/0!</v>
      </c>
      <c r="EG81" s="68" t="e">
        <f t="shared" si="123"/>
        <v>#DIV/0!</v>
      </c>
      <c r="EH81" s="68" t="e">
        <f t="shared" si="124"/>
        <v>#DIV/0!</v>
      </c>
      <c r="EI81" s="68" t="e">
        <f t="shared" si="125"/>
        <v>#DIV/0!</v>
      </c>
      <c r="EJ81" s="68" t="e">
        <f t="shared" si="126"/>
        <v>#DIV/0!</v>
      </c>
      <c r="EK81" s="68" t="e">
        <f t="shared" si="127"/>
        <v>#DIV/0!</v>
      </c>
      <c r="EL81" s="68" t="e">
        <f t="shared" si="128"/>
        <v>#DIV/0!</v>
      </c>
      <c r="EM81" s="68" t="e">
        <f t="shared" si="129"/>
        <v>#DIV/0!</v>
      </c>
      <c r="EN81" s="68" t="e">
        <f t="shared" si="130"/>
        <v>#DIV/0!</v>
      </c>
      <c r="EO81" s="68" t="e">
        <f t="shared" si="131"/>
        <v>#DIV/0!</v>
      </c>
      <c r="EP81" s="68" t="e">
        <f t="shared" si="132"/>
        <v>#DIV/0!</v>
      </c>
      <c r="EQ81" s="68" t="e">
        <f t="shared" si="133"/>
        <v>#DIV/0!</v>
      </c>
      <c r="ER81" s="68" t="e">
        <f t="shared" si="134"/>
        <v>#DIV/0!</v>
      </c>
    </row>
    <row r="82" spans="82:148" x14ac:dyDescent="0.25">
      <c r="CD82" s="68" t="s">
        <v>589</v>
      </c>
      <c r="CE82" s="69">
        <f t="shared" si="72"/>
        <v>260330.3</v>
      </c>
      <c r="CF82" s="69">
        <f t="shared" si="73"/>
        <v>800803.59</v>
      </c>
      <c r="CG82" s="70">
        <f t="shared" si="71"/>
        <v>90</v>
      </c>
      <c r="CH82" s="69">
        <f t="shared" si="135"/>
        <v>260330.30001199999</v>
      </c>
      <c r="CI82" s="69">
        <f t="shared" si="136"/>
        <v>800803.59001599997</v>
      </c>
      <c r="CJ82" s="68">
        <f t="shared" si="74"/>
        <v>26.05841667</v>
      </c>
      <c r="CK82" s="68">
        <f t="shared" si="75"/>
        <v>80.134330559999995</v>
      </c>
      <c r="CL82" s="68">
        <f t="shared" si="76"/>
        <v>26.05841667</v>
      </c>
      <c r="CM82" s="68">
        <f t="shared" si="77"/>
        <v>80.134330559999995</v>
      </c>
      <c r="CN82" s="68">
        <f t="shared" si="78"/>
        <v>0</v>
      </c>
      <c r="CO82" s="68">
        <f t="shared" si="79"/>
        <v>0</v>
      </c>
      <c r="CP82" s="68">
        <f t="shared" si="80"/>
        <v>0.43928729614546391</v>
      </c>
      <c r="CQ82" s="68">
        <f t="shared" si="81"/>
        <v>1.0027157713556663</v>
      </c>
      <c r="CR82" s="68">
        <f t="shared" si="82"/>
        <v>0</v>
      </c>
      <c r="CS82" s="68">
        <f t="shared" si="83"/>
        <v>0.48899531699999998</v>
      </c>
      <c r="CT82" s="68">
        <f t="shared" si="84"/>
        <v>0.23911642</v>
      </c>
      <c r="CU82" s="68">
        <f t="shared" si="85"/>
        <v>0</v>
      </c>
      <c r="CV82" s="68">
        <f t="shared" si="86"/>
        <v>0</v>
      </c>
      <c r="CW82" s="68">
        <f t="shared" si="87"/>
        <v>0</v>
      </c>
      <c r="CX82" s="68">
        <f t="shared" si="88"/>
        <v>0</v>
      </c>
      <c r="CY82" s="68">
        <f t="shared" si="89"/>
        <v>0</v>
      </c>
      <c r="CZ82" s="68" t="e">
        <f t="shared" si="90"/>
        <v>#DIV/0!</v>
      </c>
      <c r="DA82" s="68" t="e">
        <f t="shared" si="91"/>
        <v>#DIV/0!</v>
      </c>
      <c r="DB82" s="68" t="e">
        <f t="shared" si="92"/>
        <v>#DIV/0!</v>
      </c>
      <c r="DC82" s="68" t="e">
        <f t="shared" si="93"/>
        <v>#DIV/0!</v>
      </c>
      <c r="DD82" s="68" t="e">
        <f t="shared" si="94"/>
        <v>#DIV/0!</v>
      </c>
      <c r="DE82" s="68" t="e">
        <f t="shared" si="95"/>
        <v>#DIV/0!</v>
      </c>
      <c r="DF82" s="68" t="e">
        <f t="shared" si="96"/>
        <v>#DIV/0!</v>
      </c>
      <c r="DG82" s="68">
        <f t="shared" si="97"/>
        <v>0.45480516874807669</v>
      </c>
      <c r="DH82" s="68">
        <f t="shared" si="98"/>
        <v>1.3986079121535113</v>
      </c>
      <c r="DI82" s="68">
        <f t="shared" si="99"/>
        <v>1.5707963267948966</v>
      </c>
      <c r="DJ82" s="68" t="e">
        <f t="shared" si="100"/>
        <v>#DIV/0!</v>
      </c>
      <c r="DK82" s="68" t="e">
        <f t="shared" si="101"/>
        <v>#DIV/0!</v>
      </c>
      <c r="DL82" s="68" t="e">
        <f t="shared" si="102"/>
        <v>#DIV/0!</v>
      </c>
      <c r="DM82" s="68" t="e">
        <f t="shared" si="103"/>
        <v>#DIV/0!</v>
      </c>
      <c r="DN82" s="68" t="e">
        <f t="shared" si="104"/>
        <v>#DIV/0!</v>
      </c>
      <c r="DO82" s="68" t="e">
        <f t="shared" si="105"/>
        <v>#DIV/0!</v>
      </c>
      <c r="DP82" s="68" t="e">
        <f t="shared" si="106"/>
        <v>#DIV/0!</v>
      </c>
      <c r="DQ82" s="68" t="e">
        <f t="shared" si="107"/>
        <v>#DIV/0!</v>
      </c>
      <c r="DR82" s="68" t="e">
        <f t="shared" si="108"/>
        <v>#DIV/0!</v>
      </c>
      <c r="DS82" s="68" t="e">
        <f t="shared" si="109"/>
        <v>#DIV/0!</v>
      </c>
      <c r="DT82" s="68" t="e">
        <f t="shared" si="110"/>
        <v>#DIV/0!</v>
      </c>
      <c r="DU82" s="68" t="e">
        <f t="shared" si="111"/>
        <v>#DIV/0!</v>
      </c>
      <c r="DV82" s="68" t="e">
        <f t="shared" si="112"/>
        <v>#DIV/0!</v>
      </c>
      <c r="DW82" s="68" t="e">
        <f t="shared" si="113"/>
        <v>#DIV/0!</v>
      </c>
      <c r="DX82" s="68">
        <f t="shared" si="114"/>
        <v>26.05841667</v>
      </c>
      <c r="DY82" s="68">
        <f t="shared" si="115"/>
        <v>80.134330559999995</v>
      </c>
      <c r="DZ82" s="68" t="e">
        <f t="shared" si="116"/>
        <v>#DIV/0!</v>
      </c>
      <c r="EA82" s="68" t="e">
        <f t="shared" si="117"/>
        <v>#DIV/0!</v>
      </c>
      <c r="EB82" s="68" t="e">
        <f t="shared" si="118"/>
        <v>#DIV/0!</v>
      </c>
      <c r="EC82" s="68" t="e">
        <f t="shared" si="119"/>
        <v>#DIV/0!</v>
      </c>
      <c r="ED82" s="68" t="e">
        <f t="shared" si="120"/>
        <v>#DIV/0!</v>
      </c>
      <c r="EE82" s="68" t="e">
        <f t="shared" si="121"/>
        <v>#DIV/0!</v>
      </c>
      <c r="EF82" s="68" t="e">
        <f t="shared" si="122"/>
        <v>#DIV/0!</v>
      </c>
      <c r="EG82" s="68" t="e">
        <f t="shared" si="123"/>
        <v>#DIV/0!</v>
      </c>
      <c r="EH82" s="68" t="e">
        <f t="shared" si="124"/>
        <v>#DIV/0!</v>
      </c>
      <c r="EI82" s="68" t="e">
        <f t="shared" si="125"/>
        <v>#DIV/0!</v>
      </c>
      <c r="EJ82" s="68" t="e">
        <f t="shared" si="126"/>
        <v>#DIV/0!</v>
      </c>
      <c r="EK82" s="68" t="e">
        <f t="shared" si="127"/>
        <v>#DIV/0!</v>
      </c>
      <c r="EL82" s="68" t="e">
        <f t="shared" si="128"/>
        <v>#DIV/0!</v>
      </c>
      <c r="EM82" s="68" t="e">
        <f t="shared" si="129"/>
        <v>#DIV/0!</v>
      </c>
      <c r="EN82" s="68" t="e">
        <f t="shared" si="130"/>
        <v>#DIV/0!</v>
      </c>
      <c r="EO82" s="68" t="e">
        <f t="shared" si="131"/>
        <v>#DIV/0!</v>
      </c>
      <c r="EP82" s="68" t="e">
        <f t="shared" si="132"/>
        <v>#DIV/0!</v>
      </c>
      <c r="EQ82" s="68" t="e">
        <f t="shared" si="133"/>
        <v>#DIV/0!</v>
      </c>
      <c r="ER82" s="68" t="e">
        <f t="shared" si="134"/>
        <v>#DIV/0!</v>
      </c>
    </row>
    <row r="83" spans="82:148" x14ac:dyDescent="0.25">
      <c r="CD83" s="68" t="s">
        <v>590</v>
      </c>
      <c r="CE83" s="69">
        <f t="shared" si="72"/>
        <v>260330.3</v>
      </c>
      <c r="CF83" s="69">
        <f t="shared" si="73"/>
        <v>800803.59</v>
      </c>
      <c r="CG83" s="70">
        <f t="shared" si="71"/>
        <v>90</v>
      </c>
      <c r="CH83" s="69">
        <f t="shared" si="135"/>
        <v>260330.30001199999</v>
      </c>
      <c r="CI83" s="69">
        <f t="shared" si="136"/>
        <v>800803.59001599997</v>
      </c>
      <c r="CJ83" s="68">
        <f t="shared" si="74"/>
        <v>26.05841667</v>
      </c>
      <c r="CK83" s="68">
        <f t="shared" si="75"/>
        <v>80.134330559999995</v>
      </c>
      <c r="CL83" s="68">
        <f t="shared" si="76"/>
        <v>26.05841667</v>
      </c>
      <c r="CM83" s="68">
        <f t="shared" si="77"/>
        <v>80.134330559999995</v>
      </c>
      <c r="CN83" s="68">
        <f t="shared" si="78"/>
        <v>0</v>
      </c>
      <c r="CO83" s="68">
        <f t="shared" si="79"/>
        <v>0</v>
      </c>
      <c r="CP83" s="68">
        <f t="shared" si="80"/>
        <v>0.43928729614546391</v>
      </c>
      <c r="CQ83" s="68">
        <f t="shared" si="81"/>
        <v>1.0027157713556663</v>
      </c>
      <c r="CR83" s="68">
        <f t="shared" si="82"/>
        <v>0</v>
      </c>
      <c r="CS83" s="68">
        <f t="shared" si="83"/>
        <v>0.48899531699999998</v>
      </c>
      <c r="CT83" s="68">
        <f t="shared" si="84"/>
        <v>0.23911642</v>
      </c>
      <c r="CU83" s="68">
        <f t="shared" si="85"/>
        <v>0</v>
      </c>
      <c r="CV83" s="68">
        <f t="shared" si="86"/>
        <v>0</v>
      </c>
      <c r="CW83" s="68">
        <f t="shared" si="87"/>
        <v>0</v>
      </c>
      <c r="CX83" s="68">
        <f t="shared" si="88"/>
        <v>0</v>
      </c>
      <c r="CY83" s="68">
        <f t="shared" si="89"/>
        <v>0</v>
      </c>
      <c r="CZ83" s="68" t="e">
        <f t="shared" si="90"/>
        <v>#DIV/0!</v>
      </c>
      <c r="DA83" s="68" t="e">
        <f t="shared" si="91"/>
        <v>#DIV/0!</v>
      </c>
      <c r="DB83" s="68" t="e">
        <f t="shared" si="92"/>
        <v>#DIV/0!</v>
      </c>
      <c r="DC83" s="68" t="e">
        <f t="shared" si="93"/>
        <v>#DIV/0!</v>
      </c>
      <c r="DD83" s="68" t="e">
        <f t="shared" si="94"/>
        <v>#DIV/0!</v>
      </c>
      <c r="DE83" s="68" t="e">
        <f t="shared" si="95"/>
        <v>#DIV/0!</v>
      </c>
      <c r="DF83" s="68" t="e">
        <f t="shared" si="96"/>
        <v>#DIV/0!</v>
      </c>
      <c r="DG83" s="68">
        <f t="shared" si="97"/>
        <v>0.45480516874807669</v>
      </c>
      <c r="DH83" s="68">
        <f t="shared" si="98"/>
        <v>1.3986079121535113</v>
      </c>
      <c r="DI83" s="68">
        <f t="shared" si="99"/>
        <v>1.5707963267948966</v>
      </c>
      <c r="DJ83" s="68" t="e">
        <f t="shared" si="100"/>
        <v>#DIV/0!</v>
      </c>
      <c r="DK83" s="68" t="e">
        <f t="shared" si="101"/>
        <v>#DIV/0!</v>
      </c>
      <c r="DL83" s="68" t="e">
        <f t="shared" si="102"/>
        <v>#DIV/0!</v>
      </c>
      <c r="DM83" s="68" t="e">
        <f t="shared" si="103"/>
        <v>#DIV/0!</v>
      </c>
      <c r="DN83" s="68" t="e">
        <f t="shared" si="104"/>
        <v>#DIV/0!</v>
      </c>
      <c r="DO83" s="68" t="e">
        <f t="shared" si="105"/>
        <v>#DIV/0!</v>
      </c>
      <c r="DP83" s="68" t="e">
        <f t="shared" si="106"/>
        <v>#DIV/0!</v>
      </c>
      <c r="DQ83" s="68" t="e">
        <f t="shared" si="107"/>
        <v>#DIV/0!</v>
      </c>
      <c r="DR83" s="68" t="e">
        <f t="shared" si="108"/>
        <v>#DIV/0!</v>
      </c>
      <c r="DS83" s="68" t="e">
        <f t="shared" si="109"/>
        <v>#DIV/0!</v>
      </c>
      <c r="DT83" s="68" t="e">
        <f t="shared" si="110"/>
        <v>#DIV/0!</v>
      </c>
      <c r="DU83" s="68" t="e">
        <f t="shared" si="111"/>
        <v>#DIV/0!</v>
      </c>
      <c r="DV83" s="68" t="e">
        <f t="shared" si="112"/>
        <v>#DIV/0!</v>
      </c>
      <c r="DW83" s="68" t="e">
        <f t="shared" si="113"/>
        <v>#DIV/0!</v>
      </c>
      <c r="DX83" s="68">
        <f t="shared" si="114"/>
        <v>26.05841667</v>
      </c>
      <c r="DY83" s="68">
        <f t="shared" si="115"/>
        <v>80.134330559999995</v>
      </c>
      <c r="DZ83" s="68" t="e">
        <f t="shared" si="116"/>
        <v>#DIV/0!</v>
      </c>
      <c r="EA83" s="68" t="e">
        <f t="shared" si="117"/>
        <v>#DIV/0!</v>
      </c>
      <c r="EB83" s="68" t="e">
        <f t="shared" si="118"/>
        <v>#DIV/0!</v>
      </c>
      <c r="EC83" s="68" t="e">
        <f t="shared" si="119"/>
        <v>#DIV/0!</v>
      </c>
      <c r="ED83" s="68" t="e">
        <f t="shared" si="120"/>
        <v>#DIV/0!</v>
      </c>
      <c r="EE83" s="68" t="e">
        <f t="shared" si="121"/>
        <v>#DIV/0!</v>
      </c>
      <c r="EF83" s="68" t="e">
        <f t="shared" si="122"/>
        <v>#DIV/0!</v>
      </c>
      <c r="EG83" s="68" t="e">
        <f t="shared" si="123"/>
        <v>#DIV/0!</v>
      </c>
      <c r="EH83" s="68" t="e">
        <f t="shared" si="124"/>
        <v>#DIV/0!</v>
      </c>
      <c r="EI83" s="68" t="e">
        <f t="shared" si="125"/>
        <v>#DIV/0!</v>
      </c>
      <c r="EJ83" s="68" t="e">
        <f t="shared" si="126"/>
        <v>#DIV/0!</v>
      </c>
      <c r="EK83" s="68" t="e">
        <f t="shared" si="127"/>
        <v>#DIV/0!</v>
      </c>
      <c r="EL83" s="68" t="e">
        <f t="shared" si="128"/>
        <v>#DIV/0!</v>
      </c>
      <c r="EM83" s="68" t="e">
        <f t="shared" si="129"/>
        <v>#DIV/0!</v>
      </c>
      <c r="EN83" s="68" t="e">
        <f t="shared" si="130"/>
        <v>#DIV/0!</v>
      </c>
      <c r="EO83" s="68" t="e">
        <f t="shared" si="131"/>
        <v>#DIV/0!</v>
      </c>
      <c r="EP83" s="68" t="e">
        <f t="shared" si="132"/>
        <v>#DIV/0!</v>
      </c>
      <c r="EQ83" s="68" t="e">
        <f t="shared" si="133"/>
        <v>#DIV/0!</v>
      </c>
      <c r="ER83" s="68" t="e">
        <f t="shared" si="134"/>
        <v>#DIV/0!</v>
      </c>
    </row>
    <row r="84" spans="82:148" x14ac:dyDescent="0.25">
      <c r="CD84" s="68" t="s">
        <v>591</v>
      </c>
      <c r="CE84" s="69">
        <f t="shared" si="72"/>
        <v>260330.3</v>
      </c>
      <c r="CF84" s="69">
        <f t="shared" si="73"/>
        <v>800803.59</v>
      </c>
      <c r="CG84" s="70">
        <f t="shared" si="71"/>
        <v>90</v>
      </c>
      <c r="CH84" s="69">
        <f t="shared" si="135"/>
        <v>260330.30001199999</v>
      </c>
      <c r="CI84" s="69">
        <f t="shared" si="136"/>
        <v>800803.59001599997</v>
      </c>
      <c r="CJ84" s="68">
        <f t="shared" si="74"/>
        <v>26.05841667</v>
      </c>
      <c r="CK84" s="68">
        <f t="shared" si="75"/>
        <v>80.134330559999995</v>
      </c>
      <c r="CL84" s="68">
        <f t="shared" si="76"/>
        <v>26.05841667</v>
      </c>
      <c r="CM84" s="68">
        <f t="shared" si="77"/>
        <v>80.134330559999995</v>
      </c>
      <c r="CN84" s="68">
        <f t="shared" si="78"/>
        <v>0</v>
      </c>
      <c r="CO84" s="68">
        <f t="shared" si="79"/>
        <v>0</v>
      </c>
      <c r="CP84" s="68">
        <f t="shared" si="80"/>
        <v>0.43928729614546391</v>
      </c>
      <c r="CQ84" s="68">
        <f t="shared" si="81"/>
        <v>1.0027157713556663</v>
      </c>
      <c r="CR84" s="68">
        <f t="shared" si="82"/>
        <v>0</v>
      </c>
      <c r="CS84" s="68">
        <f t="shared" si="83"/>
        <v>0.48899531699999998</v>
      </c>
      <c r="CT84" s="68">
        <f t="shared" si="84"/>
        <v>0.23911642</v>
      </c>
      <c r="CU84" s="68">
        <f t="shared" si="85"/>
        <v>0</v>
      </c>
      <c r="CV84" s="68">
        <f t="shared" si="86"/>
        <v>0</v>
      </c>
      <c r="CW84" s="68">
        <f t="shared" si="87"/>
        <v>0</v>
      </c>
      <c r="CX84" s="68">
        <f t="shared" si="88"/>
        <v>0</v>
      </c>
      <c r="CY84" s="68">
        <f t="shared" si="89"/>
        <v>0</v>
      </c>
      <c r="CZ84" s="68" t="e">
        <f t="shared" si="90"/>
        <v>#DIV/0!</v>
      </c>
      <c r="DA84" s="68" t="e">
        <f t="shared" si="91"/>
        <v>#DIV/0!</v>
      </c>
      <c r="DB84" s="68" t="e">
        <f t="shared" si="92"/>
        <v>#DIV/0!</v>
      </c>
      <c r="DC84" s="68" t="e">
        <f t="shared" si="93"/>
        <v>#DIV/0!</v>
      </c>
      <c r="DD84" s="68" t="e">
        <f t="shared" si="94"/>
        <v>#DIV/0!</v>
      </c>
      <c r="DE84" s="68" t="e">
        <f t="shared" si="95"/>
        <v>#DIV/0!</v>
      </c>
      <c r="DF84" s="68" t="e">
        <f t="shared" si="96"/>
        <v>#DIV/0!</v>
      </c>
      <c r="DG84" s="68">
        <f t="shared" si="97"/>
        <v>0.45480516874807669</v>
      </c>
      <c r="DH84" s="68">
        <f t="shared" si="98"/>
        <v>1.3986079121535113</v>
      </c>
      <c r="DI84" s="68">
        <f t="shared" si="99"/>
        <v>1.5707963267948966</v>
      </c>
      <c r="DJ84" s="68" t="e">
        <f t="shared" si="100"/>
        <v>#DIV/0!</v>
      </c>
      <c r="DK84" s="68" t="e">
        <f t="shared" si="101"/>
        <v>#DIV/0!</v>
      </c>
      <c r="DL84" s="68" t="e">
        <f t="shared" si="102"/>
        <v>#DIV/0!</v>
      </c>
      <c r="DM84" s="68" t="e">
        <f t="shared" si="103"/>
        <v>#DIV/0!</v>
      </c>
      <c r="DN84" s="68" t="e">
        <f t="shared" si="104"/>
        <v>#DIV/0!</v>
      </c>
      <c r="DO84" s="68" t="e">
        <f t="shared" si="105"/>
        <v>#DIV/0!</v>
      </c>
      <c r="DP84" s="68" t="e">
        <f t="shared" si="106"/>
        <v>#DIV/0!</v>
      </c>
      <c r="DQ84" s="68" t="e">
        <f t="shared" si="107"/>
        <v>#DIV/0!</v>
      </c>
      <c r="DR84" s="68" t="e">
        <f t="shared" si="108"/>
        <v>#DIV/0!</v>
      </c>
      <c r="DS84" s="68" t="e">
        <f t="shared" si="109"/>
        <v>#DIV/0!</v>
      </c>
      <c r="DT84" s="68" t="e">
        <f t="shared" si="110"/>
        <v>#DIV/0!</v>
      </c>
      <c r="DU84" s="68" t="e">
        <f t="shared" si="111"/>
        <v>#DIV/0!</v>
      </c>
      <c r="DV84" s="68" t="e">
        <f t="shared" si="112"/>
        <v>#DIV/0!</v>
      </c>
      <c r="DW84" s="68" t="e">
        <f t="shared" si="113"/>
        <v>#DIV/0!</v>
      </c>
      <c r="DX84" s="68">
        <f t="shared" si="114"/>
        <v>26.05841667</v>
      </c>
      <c r="DY84" s="68">
        <f t="shared" si="115"/>
        <v>80.134330559999995</v>
      </c>
      <c r="DZ84" s="68" t="e">
        <f t="shared" si="116"/>
        <v>#DIV/0!</v>
      </c>
      <c r="EA84" s="68" t="e">
        <f t="shared" si="117"/>
        <v>#DIV/0!</v>
      </c>
      <c r="EB84" s="68" t="e">
        <f t="shared" si="118"/>
        <v>#DIV/0!</v>
      </c>
      <c r="EC84" s="68" t="e">
        <f t="shared" si="119"/>
        <v>#DIV/0!</v>
      </c>
      <c r="ED84" s="68" t="e">
        <f t="shared" si="120"/>
        <v>#DIV/0!</v>
      </c>
      <c r="EE84" s="68" t="e">
        <f t="shared" si="121"/>
        <v>#DIV/0!</v>
      </c>
      <c r="EF84" s="68" t="e">
        <f t="shared" si="122"/>
        <v>#DIV/0!</v>
      </c>
      <c r="EG84" s="68" t="e">
        <f t="shared" si="123"/>
        <v>#DIV/0!</v>
      </c>
      <c r="EH84" s="68" t="e">
        <f t="shared" si="124"/>
        <v>#DIV/0!</v>
      </c>
      <c r="EI84" s="68" t="e">
        <f t="shared" si="125"/>
        <v>#DIV/0!</v>
      </c>
      <c r="EJ84" s="68" t="e">
        <f t="shared" si="126"/>
        <v>#DIV/0!</v>
      </c>
      <c r="EK84" s="68" t="e">
        <f t="shared" si="127"/>
        <v>#DIV/0!</v>
      </c>
      <c r="EL84" s="68" t="e">
        <f t="shared" si="128"/>
        <v>#DIV/0!</v>
      </c>
      <c r="EM84" s="68" t="e">
        <f t="shared" si="129"/>
        <v>#DIV/0!</v>
      </c>
      <c r="EN84" s="68" t="e">
        <f t="shared" si="130"/>
        <v>#DIV/0!</v>
      </c>
      <c r="EO84" s="68" t="e">
        <f t="shared" si="131"/>
        <v>#DIV/0!</v>
      </c>
      <c r="EP84" s="68" t="e">
        <f t="shared" si="132"/>
        <v>#DIV/0!</v>
      </c>
      <c r="EQ84" s="68" t="e">
        <f t="shared" si="133"/>
        <v>#DIV/0!</v>
      </c>
      <c r="ER84" s="68" t="e">
        <f t="shared" si="134"/>
        <v>#DIV/0!</v>
      </c>
    </row>
    <row r="85" spans="82:148" x14ac:dyDescent="0.25">
      <c r="CD85" s="68" t="s">
        <v>592</v>
      </c>
      <c r="CE85" s="69">
        <f t="shared" si="72"/>
        <v>260330.3</v>
      </c>
      <c r="CF85" s="69">
        <f t="shared" si="73"/>
        <v>800803.59</v>
      </c>
      <c r="CG85" s="70">
        <f t="shared" si="71"/>
        <v>90</v>
      </c>
      <c r="CH85" s="69">
        <f t="shared" si="135"/>
        <v>260330.30001199999</v>
      </c>
      <c r="CI85" s="69">
        <f t="shared" si="136"/>
        <v>800803.59001599997</v>
      </c>
      <c r="CJ85" s="68">
        <f t="shared" si="74"/>
        <v>26.05841667</v>
      </c>
      <c r="CK85" s="68">
        <f t="shared" si="75"/>
        <v>80.134330559999995</v>
      </c>
      <c r="CL85" s="68">
        <f t="shared" si="76"/>
        <v>26.05841667</v>
      </c>
      <c r="CM85" s="68">
        <f t="shared" si="77"/>
        <v>80.134330559999995</v>
      </c>
      <c r="CN85" s="68">
        <f t="shared" si="78"/>
        <v>0</v>
      </c>
      <c r="CO85" s="68">
        <f t="shared" si="79"/>
        <v>0</v>
      </c>
      <c r="CP85" s="68">
        <f t="shared" si="80"/>
        <v>0.43928729614546391</v>
      </c>
      <c r="CQ85" s="68">
        <f t="shared" si="81"/>
        <v>1.0027157713556663</v>
      </c>
      <c r="CR85" s="68">
        <f t="shared" si="82"/>
        <v>0</v>
      </c>
      <c r="CS85" s="68">
        <f t="shared" si="83"/>
        <v>0.48899531699999998</v>
      </c>
      <c r="CT85" s="68">
        <f t="shared" si="84"/>
        <v>0.23911642</v>
      </c>
      <c r="CU85" s="68">
        <f t="shared" si="85"/>
        <v>0</v>
      </c>
      <c r="CV85" s="68">
        <f t="shared" si="86"/>
        <v>0</v>
      </c>
      <c r="CW85" s="68">
        <f t="shared" si="87"/>
        <v>0</v>
      </c>
      <c r="CX85" s="68">
        <f t="shared" si="88"/>
        <v>0</v>
      </c>
      <c r="CY85" s="68">
        <f t="shared" si="89"/>
        <v>0</v>
      </c>
      <c r="CZ85" s="68" t="e">
        <f t="shared" si="90"/>
        <v>#DIV/0!</v>
      </c>
      <c r="DA85" s="68" t="e">
        <f t="shared" si="91"/>
        <v>#DIV/0!</v>
      </c>
      <c r="DB85" s="68" t="e">
        <f t="shared" si="92"/>
        <v>#DIV/0!</v>
      </c>
      <c r="DC85" s="68" t="e">
        <f t="shared" si="93"/>
        <v>#DIV/0!</v>
      </c>
      <c r="DD85" s="68" t="e">
        <f t="shared" si="94"/>
        <v>#DIV/0!</v>
      </c>
      <c r="DE85" s="68" t="e">
        <f t="shared" si="95"/>
        <v>#DIV/0!</v>
      </c>
      <c r="DF85" s="68" t="e">
        <f t="shared" si="96"/>
        <v>#DIV/0!</v>
      </c>
      <c r="DG85" s="68">
        <f t="shared" si="97"/>
        <v>0.45480516874807669</v>
      </c>
      <c r="DH85" s="68">
        <f t="shared" si="98"/>
        <v>1.3986079121535113</v>
      </c>
      <c r="DI85" s="68">
        <f t="shared" si="99"/>
        <v>1.5707963267948966</v>
      </c>
      <c r="DJ85" s="68" t="e">
        <f t="shared" si="100"/>
        <v>#DIV/0!</v>
      </c>
      <c r="DK85" s="68" t="e">
        <f t="shared" si="101"/>
        <v>#DIV/0!</v>
      </c>
      <c r="DL85" s="68" t="e">
        <f t="shared" si="102"/>
        <v>#DIV/0!</v>
      </c>
      <c r="DM85" s="68" t="e">
        <f t="shared" si="103"/>
        <v>#DIV/0!</v>
      </c>
      <c r="DN85" s="68" t="e">
        <f t="shared" si="104"/>
        <v>#DIV/0!</v>
      </c>
      <c r="DO85" s="68" t="e">
        <f t="shared" si="105"/>
        <v>#DIV/0!</v>
      </c>
      <c r="DP85" s="68" t="e">
        <f t="shared" si="106"/>
        <v>#DIV/0!</v>
      </c>
      <c r="DQ85" s="68" t="e">
        <f t="shared" si="107"/>
        <v>#DIV/0!</v>
      </c>
      <c r="DR85" s="68" t="e">
        <f t="shared" si="108"/>
        <v>#DIV/0!</v>
      </c>
      <c r="DS85" s="68" t="e">
        <f t="shared" si="109"/>
        <v>#DIV/0!</v>
      </c>
      <c r="DT85" s="68" t="e">
        <f t="shared" si="110"/>
        <v>#DIV/0!</v>
      </c>
      <c r="DU85" s="68" t="e">
        <f t="shared" si="111"/>
        <v>#DIV/0!</v>
      </c>
      <c r="DV85" s="68" t="e">
        <f t="shared" si="112"/>
        <v>#DIV/0!</v>
      </c>
      <c r="DW85" s="68" t="e">
        <f t="shared" si="113"/>
        <v>#DIV/0!</v>
      </c>
      <c r="DX85" s="68">
        <f t="shared" si="114"/>
        <v>26.05841667</v>
      </c>
      <c r="DY85" s="68">
        <f t="shared" si="115"/>
        <v>80.134330559999995</v>
      </c>
      <c r="DZ85" s="68" t="e">
        <f t="shared" si="116"/>
        <v>#DIV/0!</v>
      </c>
      <c r="EA85" s="68" t="e">
        <f t="shared" si="117"/>
        <v>#DIV/0!</v>
      </c>
      <c r="EB85" s="68" t="e">
        <f t="shared" si="118"/>
        <v>#DIV/0!</v>
      </c>
      <c r="EC85" s="68" t="e">
        <f t="shared" si="119"/>
        <v>#DIV/0!</v>
      </c>
      <c r="ED85" s="68" t="e">
        <f t="shared" si="120"/>
        <v>#DIV/0!</v>
      </c>
      <c r="EE85" s="68" t="e">
        <f t="shared" si="121"/>
        <v>#DIV/0!</v>
      </c>
      <c r="EF85" s="68" t="e">
        <f t="shared" si="122"/>
        <v>#DIV/0!</v>
      </c>
      <c r="EG85" s="68" t="e">
        <f t="shared" si="123"/>
        <v>#DIV/0!</v>
      </c>
      <c r="EH85" s="68" t="e">
        <f t="shared" si="124"/>
        <v>#DIV/0!</v>
      </c>
      <c r="EI85" s="68" t="e">
        <f t="shared" si="125"/>
        <v>#DIV/0!</v>
      </c>
      <c r="EJ85" s="68" t="e">
        <f t="shared" si="126"/>
        <v>#DIV/0!</v>
      </c>
      <c r="EK85" s="68" t="e">
        <f t="shared" si="127"/>
        <v>#DIV/0!</v>
      </c>
      <c r="EL85" s="68" t="e">
        <f t="shared" si="128"/>
        <v>#DIV/0!</v>
      </c>
      <c r="EM85" s="68" t="e">
        <f t="shared" si="129"/>
        <v>#DIV/0!</v>
      </c>
      <c r="EN85" s="68" t="e">
        <f t="shared" si="130"/>
        <v>#DIV/0!</v>
      </c>
      <c r="EO85" s="68" t="e">
        <f t="shared" si="131"/>
        <v>#DIV/0!</v>
      </c>
      <c r="EP85" s="68" t="e">
        <f t="shared" si="132"/>
        <v>#DIV/0!</v>
      </c>
      <c r="EQ85" s="68" t="e">
        <f t="shared" si="133"/>
        <v>#DIV/0!</v>
      </c>
      <c r="ER85" s="68" t="e">
        <f t="shared" si="134"/>
        <v>#DIV/0!</v>
      </c>
    </row>
    <row r="86" spans="82:148" x14ac:dyDescent="0.25">
      <c r="CD86" s="68" t="s">
        <v>593</v>
      </c>
      <c r="CE86" s="69">
        <f t="shared" si="72"/>
        <v>260330.3</v>
      </c>
      <c r="CF86" s="69">
        <f t="shared" si="73"/>
        <v>800803.59</v>
      </c>
      <c r="CG86" s="70">
        <f t="shared" si="71"/>
        <v>90</v>
      </c>
      <c r="CH86" s="69">
        <f t="shared" si="135"/>
        <v>260330.30001199999</v>
      </c>
      <c r="CI86" s="69">
        <f t="shared" si="136"/>
        <v>800803.59001599997</v>
      </c>
      <c r="CJ86" s="68">
        <f t="shared" si="74"/>
        <v>26.05841667</v>
      </c>
      <c r="CK86" s="68">
        <f t="shared" si="75"/>
        <v>80.134330559999995</v>
      </c>
      <c r="CL86" s="68">
        <f t="shared" si="76"/>
        <v>26.05841667</v>
      </c>
      <c r="CM86" s="68">
        <f t="shared" si="77"/>
        <v>80.134330559999995</v>
      </c>
      <c r="CN86" s="68">
        <f t="shared" si="78"/>
        <v>0</v>
      </c>
      <c r="CO86" s="68">
        <f t="shared" si="79"/>
        <v>0</v>
      </c>
      <c r="CP86" s="68">
        <f t="shared" si="80"/>
        <v>0.43928729614546391</v>
      </c>
      <c r="CQ86" s="68">
        <f t="shared" si="81"/>
        <v>1.0027157713556663</v>
      </c>
      <c r="CR86" s="68">
        <f t="shared" si="82"/>
        <v>0</v>
      </c>
      <c r="CS86" s="68">
        <f t="shared" si="83"/>
        <v>0.48899531699999998</v>
      </c>
      <c r="CT86" s="68">
        <f t="shared" si="84"/>
        <v>0.23911642</v>
      </c>
      <c r="CU86" s="68">
        <f t="shared" si="85"/>
        <v>0</v>
      </c>
      <c r="CV86" s="68">
        <f t="shared" si="86"/>
        <v>0</v>
      </c>
      <c r="CW86" s="68">
        <f t="shared" si="87"/>
        <v>0</v>
      </c>
      <c r="CX86" s="68">
        <f t="shared" si="88"/>
        <v>0</v>
      </c>
      <c r="CY86" s="68">
        <f t="shared" si="89"/>
        <v>0</v>
      </c>
      <c r="CZ86" s="68" t="e">
        <f t="shared" si="90"/>
        <v>#DIV/0!</v>
      </c>
      <c r="DA86" s="68" t="e">
        <f t="shared" si="91"/>
        <v>#DIV/0!</v>
      </c>
      <c r="DB86" s="68" t="e">
        <f t="shared" si="92"/>
        <v>#DIV/0!</v>
      </c>
      <c r="DC86" s="68" t="e">
        <f t="shared" si="93"/>
        <v>#DIV/0!</v>
      </c>
      <c r="DD86" s="68" t="e">
        <f t="shared" si="94"/>
        <v>#DIV/0!</v>
      </c>
      <c r="DE86" s="68" t="e">
        <f t="shared" si="95"/>
        <v>#DIV/0!</v>
      </c>
      <c r="DF86" s="68" t="e">
        <f t="shared" si="96"/>
        <v>#DIV/0!</v>
      </c>
      <c r="DG86" s="68">
        <f t="shared" si="97"/>
        <v>0.45480516874807669</v>
      </c>
      <c r="DH86" s="68">
        <f t="shared" si="98"/>
        <v>1.3986079121535113</v>
      </c>
      <c r="DI86" s="68">
        <f t="shared" si="99"/>
        <v>1.5707963267948966</v>
      </c>
      <c r="DJ86" s="68" t="e">
        <f t="shared" si="100"/>
        <v>#DIV/0!</v>
      </c>
      <c r="DK86" s="68" t="e">
        <f t="shared" si="101"/>
        <v>#DIV/0!</v>
      </c>
      <c r="DL86" s="68" t="e">
        <f t="shared" si="102"/>
        <v>#DIV/0!</v>
      </c>
      <c r="DM86" s="68" t="e">
        <f t="shared" si="103"/>
        <v>#DIV/0!</v>
      </c>
      <c r="DN86" s="68" t="e">
        <f t="shared" si="104"/>
        <v>#DIV/0!</v>
      </c>
      <c r="DO86" s="68" t="e">
        <f t="shared" si="105"/>
        <v>#DIV/0!</v>
      </c>
      <c r="DP86" s="68" t="e">
        <f t="shared" si="106"/>
        <v>#DIV/0!</v>
      </c>
      <c r="DQ86" s="68" t="e">
        <f t="shared" si="107"/>
        <v>#DIV/0!</v>
      </c>
      <c r="DR86" s="68" t="e">
        <f t="shared" si="108"/>
        <v>#DIV/0!</v>
      </c>
      <c r="DS86" s="68" t="e">
        <f t="shared" si="109"/>
        <v>#DIV/0!</v>
      </c>
      <c r="DT86" s="68" t="e">
        <f t="shared" si="110"/>
        <v>#DIV/0!</v>
      </c>
      <c r="DU86" s="68" t="e">
        <f t="shared" si="111"/>
        <v>#DIV/0!</v>
      </c>
      <c r="DV86" s="68" t="e">
        <f t="shared" si="112"/>
        <v>#DIV/0!</v>
      </c>
      <c r="DW86" s="68" t="e">
        <f t="shared" si="113"/>
        <v>#DIV/0!</v>
      </c>
      <c r="DX86" s="68">
        <f t="shared" si="114"/>
        <v>26.05841667</v>
      </c>
      <c r="DY86" s="68">
        <f t="shared" si="115"/>
        <v>80.134330559999995</v>
      </c>
      <c r="DZ86" s="68" t="e">
        <f t="shared" si="116"/>
        <v>#DIV/0!</v>
      </c>
      <c r="EA86" s="68" t="e">
        <f t="shared" si="117"/>
        <v>#DIV/0!</v>
      </c>
      <c r="EB86" s="68" t="e">
        <f t="shared" si="118"/>
        <v>#DIV/0!</v>
      </c>
      <c r="EC86" s="68" t="e">
        <f t="shared" si="119"/>
        <v>#DIV/0!</v>
      </c>
      <c r="ED86" s="68" t="e">
        <f t="shared" si="120"/>
        <v>#DIV/0!</v>
      </c>
      <c r="EE86" s="68" t="e">
        <f t="shared" si="121"/>
        <v>#DIV/0!</v>
      </c>
      <c r="EF86" s="68" t="e">
        <f t="shared" si="122"/>
        <v>#DIV/0!</v>
      </c>
      <c r="EG86" s="68" t="e">
        <f t="shared" si="123"/>
        <v>#DIV/0!</v>
      </c>
      <c r="EH86" s="68" t="e">
        <f t="shared" si="124"/>
        <v>#DIV/0!</v>
      </c>
      <c r="EI86" s="68" t="e">
        <f t="shared" si="125"/>
        <v>#DIV/0!</v>
      </c>
      <c r="EJ86" s="68" t="e">
        <f t="shared" si="126"/>
        <v>#DIV/0!</v>
      </c>
      <c r="EK86" s="68" t="e">
        <f t="shared" si="127"/>
        <v>#DIV/0!</v>
      </c>
      <c r="EL86" s="68" t="e">
        <f t="shared" si="128"/>
        <v>#DIV/0!</v>
      </c>
      <c r="EM86" s="68" t="e">
        <f t="shared" si="129"/>
        <v>#DIV/0!</v>
      </c>
      <c r="EN86" s="68" t="e">
        <f t="shared" si="130"/>
        <v>#DIV/0!</v>
      </c>
      <c r="EO86" s="68" t="e">
        <f t="shared" si="131"/>
        <v>#DIV/0!</v>
      </c>
      <c r="EP86" s="68" t="e">
        <f t="shared" si="132"/>
        <v>#DIV/0!</v>
      </c>
      <c r="EQ86" s="68" t="e">
        <f t="shared" si="133"/>
        <v>#DIV/0!</v>
      </c>
      <c r="ER86" s="68" t="e">
        <f t="shared" si="134"/>
        <v>#DIV/0!</v>
      </c>
    </row>
    <row r="87" spans="82:148" x14ac:dyDescent="0.25">
      <c r="CD87" s="68" t="s">
        <v>594</v>
      </c>
      <c r="CE87" s="69">
        <f t="shared" si="72"/>
        <v>260330.3</v>
      </c>
      <c r="CF87" s="69">
        <f t="shared" si="73"/>
        <v>800803.59</v>
      </c>
      <c r="CG87" s="70">
        <f t="shared" si="71"/>
        <v>90</v>
      </c>
      <c r="CH87" s="69">
        <f t="shared" si="135"/>
        <v>260330.30001199999</v>
      </c>
      <c r="CI87" s="69">
        <f t="shared" si="136"/>
        <v>800803.59001599997</v>
      </c>
      <c r="CJ87" s="68">
        <f t="shared" si="74"/>
        <v>26.05841667</v>
      </c>
      <c r="CK87" s="68">
        <f t="shared" si="75"/>
        <v>80.134330559999995</v>
      </c>
      <c r="CL87" s="68">
        <f t="shared" si="76"/>
        <v>26.05841667</v>
      </c>
      <c r="CM87" s="68">
        <f t="shared" si="77"/>
        <v>80.134330559999995</v>
      </c>
      <c r="CN87" s="68">
        <f t="shared" si="78"/>
        <v>0</v>
      </c>
      <c r="CO87" s="68">
        <f t="shared" si="79"/>
        <v>0</v>
      </c>
      <c r="CP87" s="68">
        <f t="shared" si="80"/>
        <v>0.43928729614546391</v>
      </c>
      <c r="CQ87" s="68">
        <f t="shared" si="81"/>
        <v>1.0027157713556663</v>
      </c>
      <c r="CR87" s="68">
        <f t="shared" si="82"/>
        <v>0</v>
      </c>
      <c r="CS87" s="68">
        <f t="shared" si="83"/>
        <v>0.48899531699999998</v>
      </c>
      <c r="CT87" s="68">
        <f t="shared" si="84"/>
        <v>0.23911642</v>
      </c>
      <c r="CU87" s="68">
        <f t="shared" si="85"/>
        <v>0</v>
      </c>
      <c r="CV87" s="68">
        <f t="shared" si="86"/>
        <v>0</v>
      </c>
      <c r="CW87" s="68">
        <f t="shared" si="87"/>
        <v>0</v>
      </c>
      <c r="CX87" s="68">
        <f t="shared" si="88"/>
        <v>0</v>
      </c>
      <c r="CY87" s="68">
        <f t="shared" si="89"/>
        <v>0</v>
      </c>
      <c r="CZ87" s="68" t="e">
        <f t="shared" si="90"/>
        <v>#DIV/0!</v>
      </c>
      <c r="DA87" s="68" t="e">
        <f t="shared" si="91"/>
        <v>#DIV/0!</v>
      </c>
      <c r="DB87" s="68" t="e">
        <f t="shared" si="92"/>
        <v>#DIV/0!</v>
      </c>
      <c r="DC87" s="68" t="e">
        <f t="shared" si="93"/>
        <v>#DIV/0!</v>
      </c>
      <c r="DD87" s="68" t="e">
        <f t="shared" si="94"/>
        <v>#DIV/0!</v>
      </c>
      <c r="DE87" s="68" t="e">
        <f t="shared" si="95"/>
        <v>#DIV/0!</v>
      </c>
      <c r="DF87" s="68" t="e">
        <f t="shared" si="96"/>
        <v>#DIV/0!</v>
      </c>
      <c r="DG87" s="68">
        <f t="shared" si="97"/>
        <v>0.45480516874807669</v>
      </c>
      <c r="DH87" s="68">
        <f t="shared" si="98"/>
        <v>1.3986079121535113</v>
      </c>
      <c r="DI87" s="68">
        <f t="shared" si="99"/>
        <v>1.5707963267948966</v>
      </c>
      <c r="DJ87" s="68" t="e">
        <f t="shared" si="100"/>
        <v>#DIV/0!</v>
      </c>
      <c r="DK87" s="68" t="e">
        <f t="shared" si="101"/>
        <v>#DIV/0!</v>
      </c>
      <c r="DL87" s="68" t="e">
        <f t="shared" si="102"/>
        <v>#DIV/0!</v>
      </c>
      <c r="DM87" s="68" t="e">
        <f t="shared" si="103"/>
        <v>#DIV/0!</v>
      </c>
      <c r="DN87" s="68" t="e">
        <f t="shared" si="104"/>
        <v>#DIV/0!</v>
      </c>
      <c r="DO87" s="68" t="e">
        <f t="shared" si="105"/>
        <v>#DIV/0!</v>
      </c>
      <c r="DP87" s="68" t="e">
        <f t="shared" si="106"/>
        <v>#DIV/0!</v>
      </c>
      <c r="DQ87" s="68" t="e">
        <f t="shared" si="107"/>
        <v>#DIV/0!</v>
      </c>
      <c r="DR87" s="68" t="e">
        <f t="shared" si="108"/>
        <v>#DIV/0!</v>
      </c>
      <c r="DS87" s="68" t="e">
        <f t="shared" si="109"/>
        <v>#DIV/0!</v>
      </c>
      <c r="DT87" s="68" t="e">
        <f t="shared" si="110"/>
        <v>#DIV/0!</v>
      </c>
      <c r="DU87" s="68" t="e">
        <f t="shared" si="111"/>
        <v>#DIV/0!</v>
      </c>
      <c r="DV87" s="68" t="e">
        <f t="shared" si="112"/>
        <v>#DIV/0!</v>
      </c>
      <c r="DW87" s="68" t="e">
        <f t="shared" si="113"/>
        <v>#DIV/0!</v>
      </c>
      <c r="DX87" s="68">
        <f t="shared" si="114"/>
        <v>26.05841667</v>
      </c>
      <c r="DY87" s="68">
        <f t="shared" si="115"/>
        <v>80.134330559999995</v>
      </c>
      <c r="DZ87" s="68" t="e">
        <f t="shared" si="116"/>
        <v>#DIV/0!</v>
      </c>
      <c r="EA87" s="68" t="e">
        <f t="shared" si="117"/>
        <v>#DIV/0!</v>
      </c>
      <c r="EB87" s="68" t="e">
        <f t="shared" si="118"/>
        <v>#DIV/0!</v>
      </c>
      <c r="EC87" s="68" t="e">
        <f t="shared" si="119"/>
        <v>#DIV/0!</v>
      </c>
      <c r="ED87" s="68" t="e">
        <f t="shared" si="120"/>
        <v>#DIV/0!</v>
      </c>
      <c r="EE87" s="68" t="e">
        <f t="shared" si="121"/>
        <v>#DIV/0!</v>
      </c>
      <c r="EF87" s="68" t="e">
        <f t="shared" si="122"/>
        <v>#DIV/0!</v>
      </c>
      <c r="EG87" s="68" t="e">
        <f t="shared" si="123"/>
        <v>#DIV/0!</v>
      </c>
      <c r="EH87" s="68" t="e">
        <f t="shared" si="124"/>
        <v>#DIV/0!</v>
      </c>
      <c r="EI87" s="68" t="e">
        <f t="shared" si="125"/>
        <v>#DIV/0!</v>
      </c>
      <c r="EJ87" s="68" t="e">
        <f t="shared" si="126"/>
        <v>#DIV/0!</v>
      </c>
      <c r="EK87" s="68" t="e">
        <f t="shared" si="127"/>
        <v>#DIV/0!</v>
      </c>
      <c r="EL87" s="68" t="e">
        <f t="shared" si="128"/>
        <v>#DIV/0!</v>
      </c>
      <c r="EM87" s="68" t="e">
        <f t="shared" si="129"/>
        <v>#DIV/0!</v>
      </c>
      <c r="EN87" s="68" t="e">
        <f t="shared" si="130"/>
        <v>#DIV/0!</v>
      </c>
      <c r="EO87" s="68" t="e">
        <f t="shared" si="131"/>
        <v>#DIV/0!</v>
      </c>
      <c r="EP87" s="68" t="e">
        <f t="shared" si="132"/>
        <v>#DIV/0!</v>
      </c>
      <c r="EQ87" s="68" t="e">
        <f t="shared" si="133"/>
        <v>#DIV/0!</v>
      </c>
      <c r="ER87" s="68" t="e">
        <f t="shared" si="134"/>
        <v>#DIV/0!</v>
      </c>
    </row>
    <row r="88" spans="82:148" x14ac:dyDescent="0.25">
      <c r="CD88" s="68" t="s">
        <v>595</v>
      </c>
      <c r="CE88" s="69">
        <f t="shared" si="72"/>
        <v>260330.3</v>
      </c>
      <c r="CF88" s="69">
        <f t="shared" si="73"/>
        <v>800803.59</v>
      </c>
      <c r="CG88" s="70">
        <f t="shared" si="71"/>
        <v>90</v>
      </c>
      <c r="CH88" s="69">
        <f t="shared" si="135"/>
        <v>260330.30001199999</v>
      </c>
      <c r="CI88" s="69">
        <f t="shared" si="136"/>
        <v>800803.59001599997</v>
      </c>
      <c r="CJ88" s="68">
        <f t="shared" si="74"/>
        <v>26.05841667</v>
      </c>
      <c r="CK88" s="68">
        <f t="shared" si="75"/>
        <v>80.134330559999995</v>
      </c>
      <c r="CL88" s="68">
        <f t="shared" si="76"/>
        <v>26.05841667</v>
      </c>
      <c r="CM88" s="68">
        <f t="shared" si="77"/>
        <v>80.134330559999995</v>
      </c>
      <c r="CN88" s="68">
        <f t="shared" si="78"/>
        <v>0</v>
      </c>
      <c r="CO88" s="68">
        <f t="shared" si="79"/>
        <v>0</v>
      </c>
      <c r="CP88" s="68">
        <f t="shared" si="80"/>
        <v>0.43928729614546391</v>
      </c>
      <c r="CQ88" s="68">
        <f t="shared" si="81"/>
        <v>1.0027157713556663</v>
      </c>
      <c r="CR88" s="68">
        <f t="shared" si="82"/>
        <v>0</v>
      </c>
      <c r="CS88" s="68">
        <f t="shared" si="83"/>
        <v>0.48899531699999998</v>
      </c>
      <c r="CT88" s="68">
        <f t="shared" si="84"/>
        <v>0.23911642</v>
      </c>
      <c r="CU88" s="68">
        <f t="shared" si="85"/>
        <v>0</v>
      </c>
      <c r="CV88" s="68">
        <f t="shared" si="86"/>
        <v>0</v>
      </c>
      <c r="CW88" s="68">
        <f t="shared" si="87"/>
        <v>0</v>
      </c>
      <c r="CX88" s="68">
        <f t="shared" si="88"/>
        <v>0</v>
      </c>
      <c r="CY88" s="68">
        <f t="shared" si="89"/>
        <v>0</v>
      </c>
      <c r="CZ88" s="68" t="e">
        <f t="shared" si="90"/>
        <v>#DIV/0!</v>
      </c>
      <c r="DA88" s="68" t="e">
        <f t="shared" si="91"/>
        <v>#DIV/0!</v>
      </c>
      <c r="DB88" s="68" t="e">
        <f t="shared" si="92"/>
        <v>#DIV/0!</v>
      </c>
      <c r="DC88" s="68" t="e">
        <f t="shared" si="93"/>
        <v>#DIV/0!</v>
      </c>
      <c r="DD88" s="68" t="e">
        <f t="shared" si="94"/>
        <v>#DIV/0!</v>
      </c>
      <c r="DE88" s="68" t="e">
        <f t="shared" si="95"/>
        <v>#DIV/0!</v>
      </c>
      <c r="DF88" s="68" t="e">
        <f t="shared" si="96"/>
        <v>#DIV/0!</v>
      </c>
      <c r="DG88" s="68">
        <f t="shared" si="97"/>
        <v>0.45480516874807669</v>
      </c>
      <c r="DH88" s="68">
        <f t="shared" si="98"/>
        <v>1.3986079121535113</v>
      </c>
      <c r="DI88" s="68">
        <f t="shared" si="99"/>
        <v>1.5707963267948966</v>
      </c>
      <c r="DJ88" s="68" t="e">
        <f t="shared" si="100"/>
        <v>#DIV/0!</v>
      </c>
      <c r="DK88" s="68" t="e">
        <f t="shared" si="101"/>
        <v>#DIV/0!</v>
      </c>
      <c r="DL88" s="68" t="e">
        <f t="shared" si="102"/>
        <v>#DIV/0!</v>
      </c>
      <c r="DM88" s="68" t="e">
        <f t="shared" si="103"/>
        <v>#DIV/0!</v>
      </c>
      <c r="DN88" s="68" t="e">
        <f t="shared" si="104"/>
        <v>#DIV/0!</v>
      </c>
      <c r="DO88" s="68" t="e">
        <f t="shared" si="105"/>
        <v>#DIV/0!</v>
      </c>
      <c r="DP88" s="68" t="e">
        <f t="shared" si="106"/>
        <v>#DIV/0!</v>
      </c>
      <c r="DQ88" s="68" t="e">
        <f t="shared" si="107"/>
        <v>#DIV/0!</v>
      </c>
      <c r="DR88" s="68" t="e">
        <f t="shared" si="108"/>
        <v>#DIV/0!</v>
      </c>
      <c r="DS88" s="68" t="e">
        <f t="shared" si="109"/>
        <v>#DIV/0!</v>
      </c>
      <c r="DT88" s="68" t="e">
        <f t="shared" si="110"/>
        <v>#DIV/0!</v>
      </c>
      <c r="DU88" s="68" t="e">
        <f t="shared" si="111"/>
        <v>#DIV/0!</v>
      </c>
      <c r="DV88" s="68" t="e">
        <f t="shared" si="112"/>
        <v>#DIV/0!</v>
      </c>
      <c r="DW88" s="68" t="e">
        <f t="shared" si="113"/>
        <v>#DIV/0!</v>
      </c>
      <c r="DX88" s="68">
        <f t="shared" si="114"/>
        <v>26.05841667</v>
      </c>
      <c r="DY88" s="68">
        <f t="shared" si="115"/>
        <v>80.134330559999995</v>
      </c>
      <c r="DZ88" s="68" t="e">
        <f t="shared" si="116"/>
        <v>#DIV/0!</v>
      </c>
      <c r="EA88" s="68" t="e">
        <f t="shared" si="117"/>
        <v>#DIV/0!</v>
      </c>
      <c r="EB88" s="68" t="e">
        <f t="shared" si="118"/>
        <v>#DIV/0!</v>
      </c>
      <c r="EC88" s="68" t="e">
        <f t="shared" si="119"/>
        <v>#DIV/0!</v>
      </c>
      <c r="ED88" s="68" t="e">
        <f t="shared" si="120"/>
        <v>#DIV/0!</v>
      </c>
      <c r="EE88" s="68" t="e">
        <f t="shared" si="121"/>
        <v>#DIV/0!</v>
      </c>
      <c r="EF88" s="68" t="e">
        <f t="shared" si="122"/>
        <v>#DIV/0!</v>
      </c>
      <c r="EG88" s="68" t="e">
        <f t="shared" si="123"/>
        <v>#DIV/0!</v>
      </c>
      <c r="EH88" s="68" t="e">
        <f t="shared" si="124"/>
        <v>#DIV/0!</v>
      </c>
      <c r="EI88" s="68" t="e">
        <f t="shared" si="125"/>
        <v>#DIV/0!</v>
      </c>
      <c r="EJ88" s="68" t="e">
        <f t="shared" si="126"/>
        <v>#DIV/0!</v>
      </c>
      <c r="EK88" s="68" t="e">
        <f t="shared" si="127"/>
        <v>#DIV/0!</v>
      </c>
      <c r="EL88" s="68" t="e">
        <f t="shared" si="128"/>
        <v>#DIV/0!</v>
      </c>
      <c r="EM88" s="68" t="e">
        <f t="shared" si="129"/>
        <v>#DIV/0!</v>
      </c>
      <c r="EN88" s="68" t="e">
        <f t="shared" si="130"/>
        <v>#DIV/0!</v>
      </c>
      <c r="EO88" s="68" t="e">
        <f t="shared" si="131"/>
        <v>#DIV/0!</v>
      </c>
      <c r="EP88" s="68" t="e">
        <f t="shared" si="132"/>
        <v>#DIV/0!</v>
      </c>
      <c r="EQ88" s="68" t="e">
        <f t="shared" si="133"/>
        <v>#DIV/0!</v>
      </c>
      <c r="ER88" s="68" t="e">
        <f t="shared" si="134"/>
        <v>#DIV/0!</v>
      </c>
    </row>
    <row r="89" spans="82:148" x14ac:dyDescent="0.25">
      <c r="CD89" s="68" t="s">
        <v>596</v>
      </c>
      <c r="CE89" s="69">
        <f t="shared" si="72"/>
        <v>260330.3</v>
      </c>
      <c r="CF89" s="69">
        <f t="shared" si="73"/>
        <v>800803.59</v>
      </c>
      <c r="CG89" s="70">
        <f t="shared" ref="CG89:CG106" si="137">$F$2</f>
        <v>90</v>
      </c>
      <c r="CH89" s="69">
        <f t="shared" si="135"/>
        <v>260330.30001199999</v>
      </c>
      <c r="CI89" s="69">
        <f t="shared" si="136"/>
        <v>800803.59001599997</v>
      </c>
      <c r="CJ89" s="68">
        <f t="shared" si="74"/>
        <v>26.05841667</v>
      </c>
      <c r="CK89" s="68">
        <f t="shared" si="75"/>
        <v>80.134330559999995</v>
      </c>
      <c r="CL89" s="68">
        <f t="shared" si="76"/>
        <v>26.05841667</v>
      </c>
      <c r="CM89" s="68">
        <f t="shared" si="77"/>
        <v>80.134330559999995</v>
      </c>
      <c r="CN89" s="68">
        <f t="shared" si="78"/>
        <v>0</v>
      </c>
      <c r="CO89" s="68">
        <f t="shared" si="79"/>
        <v>0</v>
      </c>
      <c r="CP89" s="68">
        <f t="shared" si="80"/>
        <v>0.43928729614546391</v>
      </c>
      <c r="CQ89" s="68">
        <f t="shared" si="81"/>
        <v>1.0027157713556663</v>
      </c>
      <c r="CR89" s="68">
        <f t="shared" si="82"/>
        <v>0</v>
      </c>
      <c r="CS89" s="68">
        <f t="shared" si="83"/>
        <v>0.48899531699999998</v>
      </c>
      <c r="CT89" s="68">
        <f t="shared" si="84"/>
        <v>0.23911642</v>
      </c>
      <c r="CU89" s="68">
        <f t="shared" si="85"/>
        <v>0</v>
      </c>
      <c r="CV89" s="68">
        <f t="shared" si="86"/>
        <v>0</v>
      </c>
      <c r="CW89" s="68">
        <f t="shared" si="87"/>
        <v>0</v>
      </c>
      <c r="CX89" s="68">
        <f t="shared" si="88"/>
        <v>0</v>
      </c>
      <c r="CY89" s="68">
        <f t="shared" si="89"/>
        <v>0</v>
      </c>
      <c r="CZ89" s="68" t="e">
        <f t="shared" si="90"/>
        <v>#DIV/0!</v>
      </c>
      <c r="DA89" s="68" t="e">
        <f t="shared" si="91"/>
        <v>#DIV/0!</v>
      </c>
      <c r="DB89" s="68" t="e">
        <f t="shared" si="92"/>
        <v>#DIV/0!</v>
      </c>
      <c r="DC89" s="68" t="e">
        <f t="shared" si="93"/>
        <v>#DIV/0!</v>
      </c>
      <c r="DD89" s="68" t="e">
        <f t="shared" si="94"/>
        <v>#DIV/0!</v>
      </c>
      <c r="DE89" s="68" t="e">
        <f t="shared" si="95"/>
        <v>#DIV/0!</v>
      </c>
      <c r="DF89" s="68" t="e">
        <f t="shared" si="96"/>
        <v>#DIV/0!</v>
      </c>
      <c r="DG89" s="68">
        <f t="shared" si="97"/>
        <v>0.45480516874807669</v>
      </c>
      <c r="DH89" s="68">
        <f t="shared" si="98"/>
        <v>1.3986079121535113</v>
      </c>
      <c r="DI89" s="68">
        <f t="shared" si="99"/>
        <v>1.5707963267948966</v>
      </c>
      <c r="DJ89" s="68" t="e">
        <f t="shared" si="100"/>
        <v>#DIV/0!</v>
      </c>
      <c r="DK89" s="68" t="e">
        <f t="shared" si="101"/>
        <v>#DIV/0!</v>
      </c>
      <c r="DL89" s="68" t="e">
        <f t="shared" si="102"/>
        <v>#DIV/0!</v>
      </c>
      <c r="DM89" s="68" t="e">
        <f t="shared" si="103"/>
        <v>#DIV/0!</v>
      </c>
      <c r="DN89" s="68" t="e">
        <f t="shared" si="104"/>
        <v>#DIV/0!</v>
      </c>
      <c r="DO89" s="68" t="e">
        <f t="shared" si="105"/>
        <v>#DIV/0!</v>
      </c>
      <c r="DP89" s="68" t="e">
        <f t="shared" si="106"/>
        <v>#DIV/0!</v>
      </c>
      <c r="DQ89" s="68" t="e">
        <f t="shared" si="107"/>
        <v>#DIV/0!</v>
      </c>
      <c r="DR89" s="68" t="e">
        <f t="shared" si="108"/>
        <v>#DIV/0!</v>
      </c>
      <c r="DS89" s="68" t="e">
        <f t="shared" si="109"/>
        <v>#DIV/0!</v>
      </c>
      <c r="DT89" s="68" t="e">
        <f t="shared" si="110"/>
        <v>#DIV/0!</v>
      </c>
      <c r="DU89" s="68" t="e">
        <f t="shared" si="111"/>
        <v>#DIV/0!</v>
      </c>
      <c r="DV89" s="68" t="e">
        <f t="shared" si="112"/>
        <v>#DIV/0!</v>
      </c>
      <c r="DW89" s="68" t="e">
        <f t="shared" si="113"/>
        <v>#DIV/0!</v>
      </c>
      <c r="DX89" s="68">
        <f t="shared" si="114"/>
        <v>26.05841667</v>
      </c>
      <c r="DY89" s="68">
        <f t="shared" si="115"/>
        <v>80.134330559999995</v>
      </c>
      <c r="DZ89" s="68" t="e">
        <f t="shared" si="116"/>
        <v>#DIV/0!</v>
      </c>
      <c r="EA89" s="68" t="e">
        <f t="shared" si="117"/>
        <v>#DIV/0!</v>
      </c>
      <c r="EB89" s="68" t="e">
        <f t="shared" si="118"/>
        <v>#DIV/0!</v>
      </c>
      <c r="EC89" s="68" t="e">
        <f t="shared" si="119"/>
        <v>#DIV/0!</v>
      </c>
      <c r="ED89" s="68" t="e">
        <f t="shared" si="120"/>
        <v>#DIV/0!</v>
      </c>
      <c r="EE89" s="68" t="e">
        <f t="shared" si="121"/>
        <v>#DIV/0!</v>
      </c>
      <c r="EF89" s="68" t="e">
        <f t="shared" si="122"/>
        <v>#DIV/0!</v>
      </c>
      <c r="EG89" s="68" t="e">
        <f t="shared" si="123"/>
        <v>#DIV/0!</v>
      </c>
      <c r="EH89" s="68" t="e">
        <f t="shared" si="124"/>
        <v>#DIV/0!</v>
      </c>
      <c r="EI89" s="68" t="e">
        <f t="shared" si="125"/>
        <v>#DIV/0!</v>
      </c>
      <c r="EJ89" s="68" t="e">
        <f t="shared" si="126"/>
        <v>#DIV/0!</v>
      </c>
      <c r="EK89" s="68" t="e">
        <f t="shared" si="127"/>
        <v>#DIV/0!</v>
      </c>
      <c r="EL89" s="68" t="e">
        <f t="shared" si="128"/>
        <v>#DIV/0!</v>
      </c>
      <c r="EM89" s="68" t="e">
        <f t="shared" si="129"/>
        <v>#DIV/0!</v>
      </c>
      <c r="EN89" s="68" t="e">
        <f t="shared" si="130"/>
        <v>#DIV/0!</v>
      </c>
      <c r="EO89" s="68" t="e">
        <f t="shared" si="131"/>
        <v>#DIV/0!</v>
      </c>
      <c r="EP89" s="68" t="e">
        <f t="shared" si="132"/>
        <v>#DIV/0!</v>
      </c>
      <c r="EQ89" s="68" t="e">
        <f t="shared" si="133"/>
        <v>#DIV/0!</v>
      </c>
      <c r="ER89" s="68" t="e">
        <f t="shared" si="134"/>
        <v>#DIV/0!</v>
      </c>
    </row>
    <row r="90" spans="82:148" x14ac:dyDescent="0.25">
      <c r="CD90" s="68" t="s">
        <v>597</v>
      </c>
      <c r="CE90" s="69">
        <f t="shared" si="72"/>
        <v>260330.3</v>
      </c>
      <c r="CF90" s="69">
        <f t="shared" si="73"/>
        <v>800803.59</v>
      </c>
      <c r="CG90" s="70">
        <f t="shared" si="137"/>
        <v>90</v>
      </c>
      <c r="CH90" s="69">
        <f t="shared" si="135"/>
        <v>260330.30001199999</v>
      </c>
      <c r="CI90" s="69">
        <f t="shared" si="136"/>
        <v>800803.59001599997</v>
      </c>
      <c r="CJ90" s="68">
        <f t="shared" si="74"/>
        <v>26.05841667</v>
      </c>
      <c r="CK90" s="68">
        <f t="shared" si="75"/>
        <v>80.134330559999995</v>
      </c>
      <c r="CL90" s="68">
        <f t="shared" si="76"/>
        <v>26.05841667</v>
      </c>
      <c r="CM90" s="68">
        <f t="shared" si="77"/>
        <v>80.134330559999995</v>
      </c>
      <c r="CN90" s="68">
        <f t="shared" si="78"/>
        <v>0</v>
      </c>
      <c r="CO90" s="68">
        <f t="shared" si="79"/>
        <v>0</v>
      </c>
      <c r="CP90" s="68">
        <f t="shared" si="80"/>
        <v>0.43928729614546391</v>
      </c>
      <c r="CQ90" s="68">
        <f t="shared" si="81"/>
        <v>1.0027157713556663</v>
      </c>
      <c r="CR90" s="68">
        <f t="shared" si="82"/>
        <v>0</v>
      </c>
      <c r="CS90" s="68">
        <f t="shared" si="83"/>
        <v>0.48899531699999998</v>
      </c>
      <c r="CT90" s="68">
        <f t="shared" si="84"/>
        <v>0.23911642</v>
      </c>
      <c r="CU90" s="68">
        <f t="shared" si="85"/>
        <v>0</v>
      </c>
      <c r="CV90" s="68">
        <f t="shared" si="86"/>
        <v>0</v>
      </c>
      <c r="CW90" s="68">
        <f t="shared" si="87"/>
        <v>0</v>
      </c>
      <c r="CX90" s="68">
        <f t="shared" si="88"/>
        <v>0</v>
      </c>
      <c r="CY90" s="68">
        <f t="shared" si="89"/>
        <v>0</v>
      </c>
      <c r="CZ90" s="68" t="e">
        <f t="shared" si="90"/>
        <v>#DIV/0!</v>
      </c>
      <c r="DA90" s="68" t="e">
        <f t="shared" si="91"/>
        <v>#DIV/0!</v>
      </c>
      <c r="DB90" s="68" t="e">
        <f t="shared" si="92"/>
        <v>#DIV/0!</v>
      </c>
      <c r="DC90" s="68" t="e">
        <f t="shared" si="93"/>
        <v>#DIV/0!</v>
      </c>
      <c r="DD90" s="68" t="e">
        <f t="shared" si="94"/>
        <v>#DIV/0!</v>
      </c>
      <c r="DE90" s="68" t="e">
        <f t="shared" si="95"/>
        <v>#DIV/0!</v>
      </c>
      <c r="DF90" s="68" t="e">
        <f t="shared" si="96"/>
        <v>#DIV/0!</v>
      </c>
      <c r="DG90" s="68">
        <f t="shared" si="97"/>
        <v>0.45480516874807669</v>
      </c>
      <c r="DH90" s="68">
        <f t="shared" si="98"/>
        <v>1.3986079121535113</v>
      </c>
      <c r="DI90" s="68">
        <f t="shared" si="99"/>
        <v>1.5707963267948966</v>
      </c>
      <c r="DJ90" s="68" t="e">
        <f t="shared" si="100"/>
        <v>#DIV/0!</v>
      </c>
      <c r="DK90" s="68" t="e">
        <f t="shared" si="101"/>
        <v>#DIV/0!</v>
      </c>
      <c r="DL90" s="68" t="e">
        <f t="shared" si="102"/>
        <v>#DIV/0!</v>
      </c>
      <c r="DM90" s="68" t="e">
        <f t="shared" si="103"/>
        <v>#DIV/0!</v>
      </c>
      <c r="DN90" s="68" t="e">
        <f t="shared" si="104"/>
        <v>#DIV/0!</v>
      </c>
      <c r="DO90" s="68" t="e">
        <f t="shared" si="105"/>
        <v>#DIV/0!</v>
      </c>
      <c r="DP90" s="68" t="e">
        <f t="shared" si="106"/>
        <v>#DIV/0!</v>
      </c>
      <c r="DQ90" s="68" t="e">
        <f t="shared" si="107"/>
        <v>#DIV/0!</v>
      </c>
      <c r="DR90" s="68" t="e">
        <f t="shared" si="108"/>
        <v>#DIV/0!</v>
      </c>
      <c r="DS90" s="68" t="e">
        <f t="shared" si="109"/>
        <v>#DIV/0!</v>
      </c>
      <c r="DT90" s="68" t="e">
        <f t="shared" si="110"/>
        <v>#DIV/0!</v>
      </c>
      <c r="DU90" s="68" t="e">
        <f t="shared" si="111"/>
        <v>#DIV/0!</v>
      </c>
      <c r="DV90" s="68" t="e">
        <f t="shared" si="112"/>
        <v>#DIV/0!</v>
      </c>
      <c r="DW90" s="68" t="e">
        <f t="shared" si="113"/>
        <v>#DIV/0!</v>
      </c>
      <c r="DX90" s="68">
        <f t="shared" si="114"/>
        <v>26.05841667</v>
      </c>
      <c r="DY90" s="68">
        <f t="shared" si="115"/>
        <v>80.134330559999995</v>
      </c>
      <c r="DZ90" s="68" t="e">
        <f t="shared" si="116"/>
        <v>#DIV/0!</v>
      </c>
      <c r="EA90" s="68" t="e">
        <f t="shared" si="117"/>
        <v>#DIV/0!</v>
      </c>
      <c r="EB90" s="68" t="e">
        <f t="shared" si="118"/>
        <v>#DIV/0!</v>
      </c>
      <c r="EC90" s="68" t="e">
        <f t="shared" si="119"/>
        <v>#DIV/0!</v>
      </c>
      <c r="ED90" s="68" t="e">
        <f t="shared" si="120"/>
        <v>#DIV/0!</v>
      </c>
      <c r="EE90" s="68" t="e">
        <f t="shared" si="121"/>
        <v>#DIV/0!</v>
      </c>
      <c r="EF90" s="68" t="e">
        <f t="shared" si="122"/>
        <v>#DIV/0!</v>
      </c>
      <c r="EG90" s="68" t="e">
        <f t="shared" si="123"/>
        <v>#DIV/0!</v>
      </c>
      <c r="EH90" s="68" t="e">
        <f t="shared" si="124"/>
        <v>#DIV/0!</v>
      </c>
      <c r="EI90" s="68" t="e">
        <f t="shared" si="125"/>
        <v>#DIV/0!</v>
      </c>
      <c r="EJ90" s="68" t="e">
        <f t="shared" si="126"/>
        <v>#DIV/0!</v>
      </c>
      <c r="EK90" s="68" t="e">
        <f t="shared" si="127"/>
        <v>#DIV/0!</v>
      </c>
      <c r="EL90" s="68" t="e">
        <f t="shared" si="128"/>
        <v>#DIV/0!</v>
      </c>
      <c r="EM90" s="68" t="e">
        <f t="shared" si="129"/>
        <v>#DIV/0!</v>
      </c>
      <c r="EN90" s="68" t="e">
        <f t="shared" si="130"/>
        <v>#DIV/0!</v>
      </c>
      <c r="EO90" s="68" t="e">
        <f t="shared" si="131"/>
        <v>#DIV/0!</v>
      </c>
      <c r="EP90" s="68" t="e">
        <f t="shared" si="132"/>
        <v>#DIV/0!</v>
      </c>
      <c r="EQ90" s="68" t="e">
        <f t="shared" si="133"/>
        <v>#DIV/0!</v>
      </c>
      <c r="ER90" s="68" t="e">
        <f t="shared" si="134"/>
        <v>#DIV/0!</v>
      </c>
    </row>
    <row r="91" spans="82:148" x14ac:dyDescent="0.25">
      <c r="CD91" s="68" t="s">
        <v>598</v>
      </c>
      <c r="CE91" s="69">
        <f t="shared" si="72"/>
        <v>260330.3</v>
      </c>
      <c r="CF91" s="69">
        <f t="shared" si="73"/>
        <v>800803.59</v>
      </c>
      <c r="CG91" s="70">
        <f t="shared" si="137"/>
        <v>90</v>
      </c>
      <c r="CH91" s="69">
        <f t="shared" si="135"/>
        <v>260330.30001199999</v>
      </c>
      <c r="CI91" s="69">
        <f t="shared" si="136"/>
        <v>800803.59001599997</v>
      </c>
      <c r="CJ91" s="68">
        <f t="shared" si="74"/>
        <v>26.05841667</v>
      </c>
      <c r="CK91" s="68">
        <f t="shared" si="75"/>
        <v>80.134330559999995</v>
      </c>
      <c r="CL91" s="68">
        <f t="shared" si="76"/>
        <v>26.05841667</v>
      </c>
      <c r="CM91" s="68">
        <f t="shared" si="77"/>
        <v>80.134330559999995</v>
      </c>
      <c r="CN91" s="68">
        <f t="shared" si="78"/>
        <v>0</v>
      </c>
      <c r="CO91" s="68">
        <f t="shared" si="79"/>
        <v>0</v>
      </c>
      <c r="CP91" s="68">
        <f t="shared" si="80"/>
        <v>0.43928729614546391</v>
      </c>
      <c r="CQ91" s="68">
        <f t="shared" si="81"/>
        <v>1.0027157713556663</v>
      </c>
      <c r="CR91" s="68">
        <f t="shared" si="82"/>
        <v>0</v>
      </c>
      <c r="CS91" s="68">
        <f t="shared" si="83"/>
        <v>0.48899531699999998</v>
      </c>
      <c r="CT91" s="68">
        <f t="shared" si="84"/>
        <v>0.23911642</v>
      </c>
      <c r="CU91" s="68">
        <f t="shared" si="85"/>
        <v>0</v>
      </c>
      <c r="CV91" s="68">
        <f t="shared" si="86"/>
        <v>0</v>
      </c>
      <c r="CW91" s="68">
        <f t="shared" si="87"/>
        <v>0</v>
      </c>
      <c r="CX91" s="68">
        <f t="shared" si="88"/>
        <v>0</v>
      </c>
      <c r="CY91" s="68">
        <f t="shared" si="89"/>
        <v>0</v>
      </c>
      <c r="CZ91" s="68" t="e">
        <f t="shared" si="90"/>
        <v>#DIV/0!</v>
      </c>
      <c r="DA91" s="68" t="e">
        <f t="shared" si="91"/>
        <v>#DIV/0!</v>
      </c>
      <c r="DB91" s="68" t="e">
        <f t="shared" si="92"/>
        <v>#DIV/0!</v>
      </c>
      <c r="DC91" s="68" t="e">
        <f t="shared" si="93"/>
        <v>#DIV/0!</v>
      </c>
      <c r="DD91" s="68" t="e">
        <f t="shared" si="94"/>
        <v>#DIV/0!</v>
      </c>
      <c r="DE91" s="68" t="e">
        <f t="shared" si="95"/>
        <v>#DIV/0!</v>
      </c>
      <c r="DF91" s="68" t="e">
        <f t="shared" si="96"/>
        <v>#DIV/0!</v>
      </c>
      <c r="DG91" s="68">
        <f t="shared" si="97"/>
        <v>0.45480516874807669</v>
      </c>
      <c r="DH91" s="68">
        <f t="shared" si="98"/>
        <v>1.3986079121535113</v>
      </c>
      <c r="DI91" s="68">
        <f t="shared" si="99"/>
        <v>1.5707963267948966</v>
      </c>
      <c r="DJ91" s="68" t="e">
        <f t="shared" si="100"/>
        <v>#DIV/0!</v>
      </c>
      <c r="DK91" s="68" t="e">
        <f t="shared" si="101"/>
        <v>#DIV/0!</v>
      </c>
      <c r="DL91" s="68" t="e">
        <f t="shared" si="102"/>
        <v>#DIV/0!</v>
      </c>
      <c r="DM91" s="68" t="e">
        <f t="shared" si="103"/>
        <v>#DIV/0!</v>
      </c>
      <c r="DN91" s="68" t="e">
        <f t="shared" si="104"/>
        <v>#DIV/0!</v>
      </c>
      <c r="DO91" s="68" t="e">
        <f t="shared" si="105"/>
        <v>#DIV/0!</v>
      </c>
      <c r="DP91" s="68" t="e">
        <f t="shared" si="106"/>
        <v>#DIV/0!</v>
      </c>
      <c r="DQ91" s="68" t="e">
        <f t="shared" si="107"/>
        <v>#DIV/0!</v>
      </c>
      <c r="DR91" s="68" t="e">
        <f t="shared" si="108"/>
        <v>#DIV/0!</v>
      </c>
      <c r="DS91" s="68" t="e">
        <f t="shared" si="109"/>
        <v>#DIV/0!</v>
      </c>
      <c r="DT91" s="68" t="e">
        <f t="shared" si="110"/>
        <v>#DIV/0!</v>
      </c>
      <c r="DU91" s="68" t="e">
        <f t="shared" si="111"/>
        <v>#DIV/0!</v>
      </c>
      <c r="DV91" s="68" t="e">
        <f t="shared" si="112"/>
        <v>#DIV/0!</v>
      </c>
      <c r="DW91" s="68" t="e">
        <f t="shared" si="113"/>
        <v>#DIV/0!</v>
      </c>
      <c r="DX91" s="68">
        <f t="shared" si="114"/>
        <v>26.05841667</v>
      </c>
      <c r="DY91" s="68">
        <f t="shared" si="115"/>
        <v>80.134330559999995</v>
      </c>
      <c r="DZ91" s="68" t="e">
        <f t="shared" si="116"/>
        <v>#DIV/0!</v>
      </c>
      <c r="EA91" s="68" t="e">
        <f t="shared" si="117"/>
        <v>#DIV/0!</v>
      </c>
      <c r="EB91" s="68" t="e">
        <f t="shared" si="118"/>
        <v>#DIV/0!</v>
      </c>
      <c r="EC91" s="68" t="e">
        <f t="shared" si="119"/>
        <v>#DIV/0!</v>
      </c>
      <c r="ED91" s="68" t="e">
        <f t="shared" si="120"/>
        <v>#DIV/0!</v>
      </c>
      <c r="EE91" s="68" t="e">
        <f t="shared" si="121"/>
        <v>#DIV/0!</v>
      </c>
      <c r="EF91" s="68" t="e">
        <f t="shared" si="122"/>
        <v>#DIV/0!</v>
      </c>
      <c r="EG91" s="68" t="e">
        <f t="shared" si="123"/>
        <v>#DIV/0!</v>
      </c>
      <c r="EH91" s="68" t="e">
        <f t="shared" si="124"/>
        <v>#DIV/0!</v>
      </c>
      <c r="EI91" s="68" t="e">
        <f t="shared" si="125"/>
        <v>#DIV/0!</v>
      </c>
      <c r="EJ91" s="68" t="e">
        <f t="shared" si="126"/>
        <v>#DIV/0!</v>
      </c>
      <c r="EK91" s="68" t="e">
        <f t="shared" si="127"/>
        <v>#DIV/0!</v>
      </c>
      <c r="EL91" s="68" t="e">
        <f t="shared" si="128"/>
        <v>#DIV/0!</v>
      </c>
      <c r="EM91" s="68" t="e">
        <f t="shared" si="129"/>
        <v>#DIV/0!</v>
      </c>
      <c r="EN91" s="68" t="e">
        <f t="shared" si="130"/>
        <v>#DIV/0!</v>
      </c>
      <c r="EO91" s="68" t="e">
        <f t="shared" si="131"/>
        <v>#DIV/0!</v>
      </c>
      <c r="EP91" s="68" t="e">
        <f t="shared" si="132"/>
        <v>#DIV/0!</v>
      </c>
      <c r="EQ91" s="68" t="e">
        <f t="shared" si="133"/>
        <v>#DIV/0!</v>
      </c>
      <c r="ER91" s="68" t="e">
        <f t="shared" si="134"/>
        <v>#DIV/0!</v>
      </c>
    </row>
    <row r="92" spans="82:148" x14ac:dyDescent="0.25">
      <c r="CD92" s="68" t="s">
        <v>599</v>
      </c>
      <c r="CE92" s="69">
        <f t="shared" si="72"/>
        <v>260330.3</v>
      </c>
      <c r="CF92" s="69">
        <f t="shared" si="73"/>
        <v>800803.59</v>
      </c>
      <c r="CG92" s="70">
        <f t="shared" si="137"/>
        <v>90</v>
      </c>
      <c r="CH92" s="69">
        <f t="shared" si="135"/>
        <v>260330.30001199999</v>
      </c>
      <c r="CI92" s="69">
        <f t="shared" si="136"/>
        <v>800803.59001599997</v>
      </c>
      <c r="CJ92" s="68">
        <f t="shared" si="74"/>
        <v>26.05841667</v>
      </c>
      <c r="CK92" s="68">
        <f t="shared" si="75"/>
        <v>80.134330559999995</v>
      </c>
      <c r="CL92" s="68">
        <f t="shared" si="76"/>
        <v>26.05841667</v>
      </c>
      <c r="CM92" s="68">
        <f t="shared" si="77"/>
        <v>80.134330559999995</v>
      </c>
      <c r="CN92" s="68">
        <f t="shared" si="78"/>
        <v>0</v>
      </c>
      <c r="CO92" s="68">
        <f t="shared" si="79"/>
        <v>0</v>
      </c>
      <c r="CP92" s="68">
        <f t="shared" si="80"/>
        <v>0.43928729614546391</v>
      </c>
      <c r="CQ92" s="68">
        <f t="shared" si="81"/>
        <v>1.0027157713556663</v>
      </c>
      <c r="CR92" s="68">
        <f t="shared" si="82"/>
        <v>0</v>
      </c>
      <c r="CS92" s="68">
        <f t="shared" si="83"/>
        <v>0.48899531699999998</v>
      </c>
      <c r="CT92" s="68">
        <f t="shared" si="84"/>
        <v>0.23911642</v>
      </c>
      <c r="CU92" s="68">
        <f t="shared" si="85"/>
        <v>0</v>
      </c>
      <c r="CV92" s="68">
        <f t="shared" si="86"/>
        <v>0</v>
      </c>
      <c r="CW92" s="68">
        <f t="shared" si="87"/>
        <v>0</v>
      </c>
      <c r="CX92" s="68">
        <f t="shared" si="88"/>
        <v>0</v>
      </c>
      <c r="CY92" s="68">
        <f t="shared" si="89"/>
        <v>0</v>
      </c>
      <c r="CZ92" s="68" t="e">
        <f t="shared" si="90"/>
        <v>#DIV/0!</v>
      </c>
      <c r="DA92" s="68" t="e">
        <f t="shared" si="91"/>
        <v>#DIV/0!</v>
      </c>
      <c r="DB92" s="68" t="e">
        <f t="shared" si="92"/>
        <v>#DIV/0!</v>
      </c>
      <c r="DC92" s="68" t="e">
        <f t="shared" si="93"/>
        <v>#DIV/0!</v>
      </c>
      <c r="DD92" s="68" t="e">
        <f t="shared" si="94"/>
        <v>#DIV/0!</v>
      </c>
      <c r="DE92" s="68" t="e">
        <f t="shared" si="95"/>
        <v>#DIV/0!</v>
      </c>
      <c r="DF92" s="68" t="e">
        <f t="shared" si="96"/>
        <v>#DIV/0!</v>
      </c>
      <c r="DG92" s="68">
        <f t="shared" si="97"/>
        <v>0.45480516874807669</v>
      </c>
      <c r="DH92" s="68">
        <f t="shared" si="98"/>
        <v>1.3986079121535113</v>
      </c>
      <c r="DI92" s="68">
        <f t="shared" si="99"/>
        <v>1.5707963267948966</v>
      </c>
      <c r="DJ92" s="68" t="e">
        <f t="shared" si="100"/>
        <v>#DIV/0!</v>
      </c>
      <c r="DK92" s="68" t="e">
        <f t="shared" si="101"/>
        <v>#DIV/0!</v>
      </c>
      <c r="DL92" s="68" t="e">
        <f t="shared" si="102"/>
        <v>#DIV/0!</v>
      </c>
      <c r="DM92" s="68" t="e">
        <f t="shared" si="103"/>
        <v>#DIV/0!</v>
      </c>
      <c r="DN92" s="68" t="e">
        <f t="shared" si="104"/>
        <v>#DIV/0!</v>
      </c>
      <c r="DO92" s="68" t="e">
        <f t="shared" si="105"/>
        <v>#DIV/0!</v>
      </c>
      <c r="DP92" s="68" t="e">
        <f t="shared" si="106"/>
        <v>#DIV/0!</v>
      </c>
      <c r="DQ92" s="68" t="e">
        <f t="shared" si="107"/>
        <v>#DIV/0!</v>
      </c>
      <c r="DR92" s="68" t="e">
        <f t="shared" si="108"/>
        <v>#DIV/0!</v>
      </c>
      <c r="DS92" s="68" t="e">
        <f t="shared" si="109"/>
        <v>#DIV/0!</v>
      </c>
      <c r="DT92" s="68" t="e">
        <f t="shared" si="110"/>
        <v>#DIV/0!</v>
      </c>
      <c r="DU92" s="68" t="e">
        <f t="shared" si="111"/>
        <v>#DIV/0!</v>
      </c>
      <c r="DV92" s="68" t="e">
        <f t="shared" si="112"/>
        <v>#DIV/0!</v>
      </c>
      <c r="DW92" s="68" t="e">
        <f t="shared" si="113"/>
        <v>#DIV/0!</v>
      </c>
      <c r="DX92" s="68">
        <f t="shared" si="114"/>
        <v>26.05841667</v>
      </c>
      <c r="DY92" s="68">
        <f t="shared" si="115"/>
        <v>80.134330559999995</v>
      </c>
      <c r="DZ92" s="68" t="e">
        <f t="shared" si="116"/>
        <v>#DIV/0!</v>
      </c>
      <c r="EA92" s="68" t="e">
        <f t="shared" si="117"/>
        <v>#DIV/0!</v>
      </c>
      <c r="EB92" s="68" t="e">
        <f t="shared" si="118"/>
        <v>#DIV/0!</v>
      </c>
      <c r="EC92" s="68" t="e">
        <f t="shared" si="119"/>
        <v>#DIV/0!</v>
      </c>
      <c r="ED92" s="68" t="e">
        <f t="shared" si="120"/>
        <v>#DIV/0!</v>
      </c>
      <c r="EE92" s="68" t="e">
        <f t="shared" si="121"/>
        <v>#DIV/0!</v>
      </c>
      <c r="EF92" s="68" t="e">
        <f t="shared" si="122"/>
        <v>#DIV/0!</v>
      </c>
      <c r="EG92" s="68" t="e">
        <f t="shared" si="123"/>
        <v>#DIV/0!</v>
      </c>
      <c r="EH92" s="68" t="e">
        <f t="shared" si="124"/>
        <v>#DIV/0!</v>
      </c>
      <c r="EI92" s="68" t="e">
        <f t="shared" si="125"/>
        <v>#DIV/0!</v>
      </c>
      <c r="EJ92" s="68" t="e">
        <f t="shared" si="126"/>
        <v>#DIV/0!</v>
      </c>
      <c r="EK92" s="68" t="e">
        <f t="shared" si="127"/>
        <v>#DIV/0!</v>
      </c>
      <c r="EL92" s="68" t="e">
        <f t="shared" si="128"/>
        <v>#DIV/0!</v>
      </c>
      <c r="EM92" s="68" t="e">
        <f t="shared" si="129"/>
        <v>#DIV/0!</v>
      </c>
      <c r="EN92" s="68" t="e">
        <f t="shared" si="130"/>
        <v>#DIV/0!</v>
      </c>
      <c r="EO92" s="68" t="e">
        <f t="shared" si="131"/>
        <v>#DIV/0!</v>
      </c>
      <c r="EP92" s="68" t="e">
        <f t="shared" si="132"/>
        <v>#DIV/0!</v>
      </c>
      <c r="EQ92" s="68" t="e">
        <f t="shared" si="133"/>
        <v>#DIV/0!</v>
      </c>
      <c r="ER92" s="68" t="e">
        <f t="shared" si="134"/>
        <v>#DIV/0!</v>
      </c>
    </row>
    <row r="93" spans="82:148" x14ac:dyDescent="0.25">
      <c r="CD93" s="68" t="s">
        <v>600</v>
      </c>
      <c r="CE93" s="69">
        <f t="shared" si="72"/>
        <v>260330.3</v>
      </c>
      <c r="CF93" s="69">
        <f t="shared" si="73"/>
        <v>800803.59</v>
      </c>
      <c r="CG93" s="70">
        <f t="shared" si="137"/>
        <v>90</v>
      </c>
      <c r="CH93" s="69">
        <f t="shared" si="135"/>
        <v>260330.30001199999</v>
      </c>
      <c r="CI93" s="69">
        <f t="shared" si="136"/>
        <v>800803.59001599997</v>
      </c>
      <c r="CJ93" s="68">
        <f t="shared" si="74"/>
        <v>26.05841667</v>
      </c>
      <c r="CK93" s="68">
        <f t="shared" si="75"/>
        <v>80.134330559999995</v>
      </c>
      <c r="CL93" s="68">
        <f t="shared" si="76"/>
        <v>26.05841667</v>
      </c>
      <c r="CM93" s="68">
        <f t="shared" si="77"/>
        <v>80.134330559999995</v>
      </c>
      <c r="CN93" s="68">
        <f t="shared" si="78"/>
        <v>0</v>
      </c>
      <c r="CO93" s="68">
        <f t="shared" si="79"/>
        <v>0</v>
      </c>
      <c r="CP93" s="68">
        <f t="shared" si="80"/>
        <v>0.43928729614546391</v>
      </c>
      <c r="CQ93" s="68">
        <f t="shared" si="81"/>
        <v>1.0027157713556663</v>
      </c>
      <c r="CR93" s="68">
        <f t="shared" si="82"/>
        <v>0</v>
      </c>
      <c r="CS93" s="68">
        <f t="shared" si="83"/>
        <v>0.48899531699999998</v>
      </c>
      <c r="CT93" s="68">
        <f t="shared" si="84"/>
        <v>0.23911642</v>
      </c>
      <c r="CU93" s="68">
        <f t="shared" si="85"/>
        <v>0</v>
      </c>
      <c r="CV93" s="68">
        <f t="shared" si="86"/>
        <v>0</v>
      </c>
      <c r="CW93" s="68">
        <f t="shared" si="87"/>
        <v>0</v>
      </c>
      <c r="CX93" s="68">
        <f t="shared" si="88"/>
        <v>0</v>
      </c>
      <c r="CY93" s="68">
        <f t="shared" si="89"/>
        <v>0</v>
      </c>
      <c r="CZ93" s="68" t="e">
        <f t="shared" si="90"/>
        <v>#DIV/0!</v>
      </c>
      <c r="DA93" s="68" t="e">
        <f t="shared" si="91"/>
        <v>#DIV/0!</v>
      </c>
      <c r="DB93" s="68" t="e">
        <f t="shared" si="92"/>
        <v>#DIV/0!</v>
      </c>
      <c r="DC93" s="68" t="e">
        <f t="shared" si="93"/>
        <v>#DIV/0!</v>
      </c>
      <c r="DD93" s="68" t="e">
        <f t="shared" si="94"/>
        <v>#DIV/0!</v>
      </c>
      <c r="DE93" s="68" t="e">
        <f t="shared" si="95"/>
        <v>#DIV/0!</v>
      </c>
      <c r="DF93" s="68" t="e">
        <f t="shared" si="96"/>
        <v>#DIV/0!</v>
      </c>
      <c r="DG93" s="68">
        <f t="shared" si="97"/>
        <v>0.45480516874807669</v>
      </c>
      <c r="DH93" s="68">
        <f t="shared" si="98"/>
        <v>1.3986079121535113</v>
      </c>
      <c r="DI93" s="68">
        <f t="shared" si="99"/>
        <v>1.5707963267948966</v>
      </c>
      <c r="DJ93" s="68" t="e">
        <f t="shared" si="100"/>
        <v>#DIV/0!</v>
      </c>
      <c r="DK93" s="68" t="e">
        <f t="shared" si="101"/>
        <v>#DIV/0!</v>
      </c>
      <c r="DL93" s="68" t="e">
        <f t="shared" si="102"/>
        <v>#DIV/0!</v>
      </c>
      <c r="DM93" s="68" t="e">
        <f t="shared" si="103"/>
        <v>#DIV/0!</v>
      </c>
      <c r="DN93" s="68" t="e">
        <f t="shared" si="104"/>
        <v>#DIV/0!</v>
      </c>
      <c r="DO93" s="68" t="e">
        <f t="shared" si="105"/>
        <v>#DIV/0!</v>
      </c>
      <c r="DP93" s="68" t="e">
        <f t="shared" si="106"/>
        <v>#DIV/0!</v>
      </c>
      <c r="DQ93" s="68" t="e">
        <f t="shared" si="107"/>
        <v>#DIV/0!</v>
      </c>
      <c r="DR93" s="68" t="e">
        <f t="shared" si="108"/>
        <v>#DIV/0!</v>
      </c>
      <c r="DS93" s="68" t="e">
        <f t="shared" si="109"/>
        <v>#DIV/0!</v>
      </c>
      <c r="DT93" s="68" t="e">
        <f t="shared" si="110"/>
        <v>#DIV/0!</v>
      </c>
      <c r="DU93" s="68" t="e">
        <f t="shared" si="111"/>
        <v>#DIV/0!</v>
      </c>
      <c r="DV93" s="68" t="e">
        <f t="shared" si="112"/>
        <v>#DIV/0!</v>
      </c>
      <c r="DW93" s="68" t="e">
        <f t="shared" si="113"/>
        <v>#DIV/0!</v>
      </c>
      <c r="DX93" s="68">
        <f t="shared" si="114"/>
        <v>26.05841667</v>
      </c>
      <c r="DY93" s="68">
        <f t="shared" si="115"/>
        <v>80.134330559999995</v>
      </c>
      <c r="DZ93" s="68" t="e">
        <f t="shared" si="116"/>
        <v>#DIV/0!</v>
      </c>
      <c r="EA93" s="68" t="e">
        <f t="shared" si="117"/>
        <v>#DIV/0!</v>
      </c>
      <c r="EB93" s="68" t="e">
        <f t="shared" si="118"/>
        <v>#DIV/0!</v>
      </c>
      <c r="EC93" s="68" t="e">
        <f t="shared" si="119"/>
        <v>#DIV/0!</v>
      </c>
      <c r="ED93" s="68" t="e">
        <f t="shared" si="120"/>
        <v>#DIV/0!</v>
      </c>
      <c r="EE93" s="68" t="e">
        <f t="shared" si="121"/>
        <v>#DIV/0!</v>
      </c>
      <c r="EF93" s="68" t="e">
        <f t="shared" si="122"/>
        <v>#DIV/0!</v>
      </c>
      <c r="EG93" s="68" t="e">
        <f t="shared" si="123"/>
        <v>#DIV/0!</v>
      </c>
      <c r="EH93" s="68" t="e">
        <f t="shared" si="124"/>
        <v>#DIV/0!</v>
      </c>
      <c r="EI93" s="68" t="e">
        <f t="shared" si="125"/>
        <v>#DIV/0!</v>
      </c>
      <c r="EJ93" s="68" t="e">
        <f t="shared" si="126"/>
        <v>#DIV/0!</v>
      </c>
      <c r="EK93" s="68" t="e">
        <f t="shared" si="127"/>
        <v>#DIV/0!</v>
      </c>
      <c r="EL93" s="68" t="e">
        <f t="shared" si="128"/>
        <v>#DIV/0!</v>
      </c>
      <c r="EM93" s="68" t="e">
        <f t="shared" si="129"/>
        <v>#DIV/0!</v>
      </c>
      <c r="EN93" s="68" t="e">
        <f t="shared" si="130"/>
        <v>#DIV/0!</v>
      </c>
      <c r="EO93" s="68" t="e">
        <f t="shared" si="131"/>
        <v>#DIV/0!</v>
      </c>
      <c r="EP93" s="68" t="e">
        <f t="shared" si="132"/>
        <v>#DIV/0!</v>
      </c>
      <c r="EQ93" s="68" t="e">
        <f t="shared" si="133"/>
        <v>#DIV/0!</v>
      </c>
      <c r="ER93" s="68" t="e">
        <f t="shared" si="134"/>
        <v>#DIV/0!</v>
      </c>
    </row>
    <row r="94" spans="82:148" x14ac:dyDescent="0.25">
      <c r="CD94" s="68" t="s">
        <v>601</v>
      </c>
      <c r="CE94" s="69">
        <f t="shared" si="72"/>
        <v>260330.3</v>
      </c>
      <c r="CF94" s="69">
        <f t="shared" si="73"/>
        <v>800803.59</v>
      </c>
      <c r="CG94" s="70">
        <f t="shared" si="137"/>
        <v>90</v>
      </c>
      <c r="CH94" s="69">
        <f t="shared" si="135"/>
        <v>260330.30001199999</v>
      </c>
      <c r="CI94" s="69">
        <f t="shared" si="136"/>
        <v>800803.59001599997</v>
      </c>
      <c r="CJ94" s="68">
        <f t="shared" si="74"/>
        <v>26.05841667</v>
      </c>
      <c r="CK94" s="68">
        <f t="shared" si="75"/>
        <v>80.134330559999995</v>
      </c>
      <c r="CL94" s="68">
        <f t="shared" si="76"/>
        <v>26.05841667</v>
      </c>
      <c r="CM94" s="68">
        <f t="shared" si="77"/>
        <v>80.134330559999995</v>
      </c>
      <c r="CN94" s="68">
        <f t="shared" si="78"/>
        <v>0</v>
      </c>
      <c r="CO94" s="68">
        <f t="shared" si="79"/>
        <v>0</v>
      </c>
      <c r="CP94" s="68">
        <f t="shared" si="80"/>
        <v>0.43928729614546391</v>
      </c>
      <c r="CQ94" s="68">
        <f t="shared" si="81"/>
        <v>1.0027157713556663</v>
      </c>
      <c r="CR94" s="68">
        <f t="shared" si="82"/>
        <v>0</v>
      </c>
      <c r="CS94" s="68">
        <f t="shared" si="83"/>
        <v>0.48899531699999998</v>
      </c>
      <c r="CT94" s="68">
        <f t="shared" si="84"/>
        <v>0.23911642</v>
      </c>
      <c r="CU94" s="68">
        <f t="shared" si="85"/>
        <v>0</v>
      </c>
      <c r="CV94" s="68">
        <f t="shared" si="86"/>
        <v>0</v>
      </c>
      <c r="CW94" s="68">
        <f t="shared" si="87"/>
        <v>0</v>
      </c>
      <c r="CX94" s="68">
        <f t="shared" si="88"/>
        <v>0</v>
      </c>
      <c r="CY94" s="68">
        <f t="shared" si="89"/>
        <v>0</v>
      </c>
      <c r="CZ94" s="68" t="e">
        <f t="shared" si="90"/>
        <v>#DIV/0!</v>
      </c>
      <c r="DA94" s="68" t="e">
        <f t="shared" si="91"/>
        <v>#DIV/0!</v>
      </c>
      <c r="DB94" s="68" t="e">
        <f t="shared" si="92"/>
        <v>#DIV/0!</v>
      </c>
      <c r="DC94" s="68" t="e">
        <f t="shared" si="93"/>
        <v>#DIV/0!</v>
      </c>
      <c r="DD94" s="68" t="e">
        <f t="shared" si="94"/>
        <v>#DIV/0!</v>
      </c>
      <c r="DE94" s="68" t="e">
        <f t="shared" si="95"/>
        <v>#DIV/0!</v>
      </c>
      <c r="DF94" s="68" t="e">
        <f t="shared" si="96"/>
        <v>#DIV/0!</v>
      </c>
      <c r="DG94" s="68">
        <f t="shared" si="97"/>
        <v>0.45480516874807669</v>
      </c>
      <c r="DH94" s="68">
        <f t="shared" si="98"/>
        <v>1.3986079121535113</v>
      </c>
      <c r="DI94" s="68">
        <f t="shared" si="99"/>
        <v>1.5707963267948966</v>
      </c>
      <c r="DJ94" s="68" t="e">
        <f t="shared" si="100"/>
        <v>#DIV/0!</v>
      </c>
      <c r="DK94" s="68" t="e">
        <f t="shared" si="101"/>
        <v>#DIV/0!</v>
      </c>
      <c r="DL94" s="68" t="e">
        <f t="shared" si="102"/>
        <v>#DIV/0!</v>
      </c>
      <c r="DM94" s="68" t="e">
        <f t="shared" si="103"/>
        <v>#DIV/0!</v>
      </c>
      <c r="DN94" s="68" t="e">
        <f t="shared" si="104"/>
        <v>#DIV/0!</v>
      </c>
      <c r="DO94" s="68" t="e">
        <f t="shared" si="105"/>
        <v>#DIV/0!</v>
      </c>
      <c r="DP94" s="68" t="e">
        <f t="shared" si="106"/>
        <v>#DIV/0!</v>
      </c>
      <c r="DQ94" s="68" t="e">
        <f t="shared" si="107"/>
        <v>#DIV/0!</v>
      </c>
      <c r="DR94" s="68" t="e">
        <f t="shared" si="108"/>
        <v>#DIV/0!</v>
      </c>
      <c r="DS94" s="68" t="e">
        <f t="shared" si="109"/>
        <v>#DIV/0!</v>
      </c>
      <c r="DT94" s="68" t="e">
        <f t="shared" si="110"/>
        <v>#DIV/0!</v>
      </c>
      <c r="DU94" s="68" t="e">
        <f t="shared" si="111"/>
        <v>#DIV/0!</v>
      </c>
      <c r="DV94" s="68" t="e">
        <f t="shared" si="112"/>
        <v>#DIV/0!</v>
      </c>
      <c r="DW94" s="68" t="e">
        <f t="shared" si="113"/>
        <v>#DIV/0!</v>
      </c>
      <c r="DX94" s="68">
        <f t="shared" si="114"/>
        <v>26.05841667</v>
      </c>
      <c r="DY94" s="68">
        <f t="shared" si="115"/>
        <v>80.134330559999995</v>
      </c>
      <c r="DZ94" s="68" t="e">
        <f t="shared" si="116"/>
        <v>#DIV/0!</v>
      </c>
      <c r="EA94" s="68" t="e">
        <f t="shared" si="117"/>
        <v>#DIV/0!</v>
      </c>
      <c r="EB94" s="68" t="e">
        <f t="shared" si="118"/>
        <v>#DIV/0!</v>
      </c>
      <c r="EC94" s="68" t="e">
        <f t="shared" si="119"/>
        <v>#DIV/0!</v>
      </c>
      <c r="ED94" s="68" t="e">
        <f t="shared" si="120"/>
        <v>#DIV/0!</v>
      </c>
      <c r="EE94" s="68" t="e">
        <f t="shared" si="121"/>
        <v>#DIV/0!</v>
      </c>
      <c r="EF94" s="68" t="e">
        <f t="shared" si="122"/>
        <v>#DIV/0!</v>
      </c>
      <c r="EG94" s="68" t="e">
        <f t="shared" si="123"/>
        <v>#DIV/0!</v>
      </c>
      <c r="EH94" s="68" t="e">
        <f t="shared" si="124"/>
        <v>#DIV/0!</v>
      </c>
      <c r="EI94" s="68" t="e">
        <f t="shared" si="125"/>
        <v>#DIV/0!</v>
      </c>
      <c r="EJ94" s="68" t="e">
        <f t="shared" si="126"/>
        <v>#DIV/0!</v>
      </c>
      <c r="EK94" s="68" t="e">
        <f t="shared" si="127"/>
        <v>#DIV/0!</v>
      </c>
      <c r="EL94" s="68" t="e">
        <f t="shared" si="128"/>
        <v>#DIV/0!</v>
      </c>
      <c r="EM94" s="68" t="e">
        <f t="shared" si="129"/>
        <v>#DIV/0!</v>
      </c>
      <c r="EN94" s="68" t="e">
        <f t="shared" si="130"/>
        <v>#DIV/0!</v>
      </c>
      <c r="EO94" s="68" t="e">
        <f t="shared" si="131"/>
        <v>#DIV/0!</v>
      </c>
      <c r="EP94" s="68" t="e">
        <f t="shared" si="132"/>
        <v>#DIV/0!</v>
      </c>
      <c r="EQ94" s="68" t="e">
        <f t="shared" si="133"/>
        <v>#DIV/0!</v>
      </c>
      <c r="ER94" s="68" t="e">
        <f t="shared" si="134"/>
        <v>#DIV/0!</v>
      </c>
    </row>
    <row r="95" spans="82:148" x14ac:dyDescent="0.25">
      <c r="CD95" s="68" t="s">
        <v>602</v>
      </c>
      <c r="CE95" s="69">
        <f t="shared" si="72"/>
        <v>260330.3</v>
      </c>
      <c r="CF95" s="69">
        <f t="shared" si="73"/>
        <v>800803.59</v>
      </c>
      <c r="CG95" s="70">
        <f t="shared" si="137"/>
        <v>90</v>
      </c>
      <c r="CH95" s="69">
        <f t="shared" si="135"/>
        <v>260330.30001199999</v>
      </c>
      <c r="CI95" s="69">
        <f t="shared" si="136"/>
        <v>800803.59001599997</v>
      </c>
      <c r="CJ95" s="68">
        <f t="shared" si="74"/>
        <v>26.05841667</v>
      </c>
      <c r="CK95" s="68">
        <f t="shared" si="75"/>
        <v>80.134330559999995</v>
      </c>
      <c r="CL95" s="68">
        <f t="shared" si="76"/>
        <v>26.05841667</v>
      </c>
      <c r="CM95" s="68">
        <f t="shared" si="77"/>
        <v>80.134330559999995</v>
      </c>
      <c r="CN95" s="68">
        <f t="shared" si="78"/>
        <v>0</v>
      </c>
      <c r="CO95" s="68">
        <f t="shared" si="79"/>
        <v>0</v>
      </c>
      <c r="CP95" s="68">
        <f t="shared" si="80"/>
        <v>0.43928729614546391</v>
      </c>
      <c r="CQ95" s="68">
        <f t="shared" si="81"/>
        <v>1.0027157713556663</v>
      </c>
      <c r="CR95" s="68">
        <f t="shared" si="82"/>
        <v>0</v>
      </c>
      <c r="CS95" s="68">
        <f t="shared" si="83"/>
        <v>0.48899531699999998</v>
      </c>
      <c r="CT95" s="68">
        <f t="shared" si="84"/>
        <v>0.23911642</v>
      </c>
      <c r="CU95" s="68">
        <f t="shared" si="85"/>
        <v>0</v>
      </c>
      <c r="CV95" s="68">
        <f t="shared" si="86"/>
        <v>0</v>
      </c>
      <c r="CW95" s="68">
        <f t="shared" si="87"/>
        <v>0</v>
      </c>
      <c r="CX95" s="68">
        <f t="shared" si="88"/>
        <v>0</v>
      </c>
      <c r="CY95" s="68">
        <f t="shared" si="89"/>
        <v>0</v>
      </c>
      <c r="CZ95" s="68" t="e">
        <f t="shared" si="90"/>
        <v>#DIV/0!</v>
      </c>
      <c r="DA95" s="68" t="e">
        <f t="shared" si="91"/>
        <v>#DIV/0!</v>
      </c>
      <c r="DB95" s="68" t="e">
        <f t="shared" si="92"/>
        <v>#DIV/0!</v>
      </c>
      <c r="DC95" s="68" t="e">
        <f t="shared" si="93"/>
        <v>#DIV/0!</v>
      </c>
      <c r="DD95" s="68" t="e">
        <f t="shared" si="94"/>
        <v>#DIV/0!</v>
      </c>
      <c r="DE95" s="68" t="e">
        <f t="shared" si="95"/>
        <v>#DIV/0!</v>
      </c>
      <c r="DF95" s="68" t="e">
        <f t="shared" si="96"/>
        <v>#DIV/0!</v>
      </c>
      <c r="DG95" s="68">
        <f t="shared" si="97"/>
        <v>0.45480516874807669</v>
      </c>
      <c r="DH95" s="68">
        <f t="shared" si="98"/>
        <v>1.3986079121535113</v>
      </c>
      <c r="DI95" s="68">
        <f t="shared" si="99"/>
        <v>1.5707963267948966</v>
      </c>
      <c r="DJ95" s="68" t="e">
        <f t="shared" si="100"/>
        <v>#DIV/0!</v>
      </c>
      <c r="DK95" s="68" t="e">
        <f t="shared" si="101"/>
        <v>#DIV/0!</v>
      </c>
      <c r="DL95" s="68" t="e">
        <f t="shared" si="102"/>
        <v>#DIV/0!</v>
      </c>
      <c r="DM95" s="68" t="e">
        <f t="shared" si="103"/>
        <v>#DIV/0!</v>
      </c>
      <c r="DN95" s="68" t="e">
        <f t="shared" si="104"/>
        <v>#DIV/0!</v>
      </c>
      <c r="DO95" s="68" t="e">
        <f t="shared" si="105"/>
        <v>#DIV/0!</v>
      </c>
      <c r="DP95" s="68" t="e">
        <f t="shared" si="106"/>
        <v>#DIV/0!</v>
      </c>
      <c r="DQ95" s="68" t="e">
        <f t="shared" si="107"/>
        <v>#DIV/0!</v>
      </c>
      <c r="DR95" s="68" t="e">
        <f t="shared" si="108"/>
        <v>#DIV/0!</v>
      </c>
      <c r="DS95" s="68" t="e">
        <f t="shared" si="109"/>
        <v>#DIV/0!</v>
      </c>
      <c r="DT95" s="68" t="e">
        <f t="shared" si="110"/>
        <v>#DIV/0!</v>
      </c>
      <c r="DU95" s="68" t="e">
        <f t="shared" si="111"/>
        <v>#DIV/0!</v>
      </c>
      <c r="DV95" s="68" t="e">
        <f t="shared" si="112"/>
        <v>#DIV/0!</v>
      </c>
      <c r="DW95" s="68" t="e">
        <f t="shared" si="113"/>
        <v>#DIV/0!</v>
      </c>
      <c r="DX95" s="68">
        <f t="shared" si="114"/>
        <v>26.05841667</v>
      </c>
      <c r="DY95" s="68">
        <f t="shared" si="115"/>
        <v>80.134330559999995</v>
      </c>
      <c r="DZ95" s="68" t="e">
        <f t="shared" si="116"/>
        <v>#DIV/0!</v>
      </c>
      <c r="EA95" s="68" t="e">
        <f t="shared" si="117"/>
        <v>#DIV/0!</v>
      </c>
      <c r="EB95" s="68" t="e">
        <f t="shared" si="118"/>
        <v>#DIV/0!</v>
      </c>
      <c r="EC95" s="68" t="e">
        <f t="shared" si="119"/>
        <v>#DIV/0!</v>
      </c>
      <c r="ED95" s="68" t="e">
        <f t="shared" si="120"/>
        <v>#DIV/0!</v>
      </c>
      <c r="EE95" s="68" t="e">
        <f t="shared" si="121"/>
        <v>#DIV/0!</v>
      </c>
      <c r="EF95" s="68" t="e">
        <f t="shared" si="122"/>
        <v>#DIV/0!</v>
      </c>
      <c r="EG95" s="68" t="e">
        <f t="shared" si="123"/>
        <v>#DIV/0!</v>
      </c>
      <c r="EH95" s="68" t="e">
        <f t="shared" si="124"/>
        <v>#DIV/0!</v>
      </c>
      <c r="EI95" s="68" t="e">
        <f t="shared" si="125"/>
        <v>#DIV/0!</v>
      </c>
      <c r="EJ95" s="68" t="e">
        <f t="shared" si="126"/>
        <v>#DIV/0!</v>
      </c>
      <c r="EK95" s="68" t="e">
        <f t="shared" si="127"/>
        <v>#DIV/0!</v>
      </c>
      <c r="EL95" s="68" t="e">
        <f t="shared" si="128"/>
        <v>#DIV/0!</v>
      </c>
      <c r="EM95" s="68" t="e">
        <f t="shared" si="129"/>
        <v>#DIV/0!</v>
      </c>
      <c r="EN95" s="68" t="e">
        <f t="shared" si="130"/>
        <v>#DIV/0!</v>
      </c>
      <c r="EO95" s="68" t="e">
        <f t="shared" si="131"/>
        <v>#DIV/0!</v>
      </c>
      <c r="EP95" s="68" t="e">
        <f t="shared" si="132"/>
        <v>#DIV/0!</v>
      </c>
      <c r="EQ95" s="68" t="e">
        <f t="shared" si="133"/>
        <v>#DIV/0!</v>
      </c>
      <c r="ER95" s="68" t="e">
        <f t="shared" si="134"/>
        <v>#DIV/0!</v>
      </c>
    </row>
    <row r="96" spans="82:148" x14ac:dyDescent="0.25">
      <c r="CD96" s="68" t="s">
        <v>603</v>
      </c>
      <c r="CE96" s="69">
        <f t="shared" si="72"/>
        <v>260330.3</v>
      </c>
      <c r="CF96" s="69">
        <f t="shared" si="73"/>
        <v>800803.59</v>
      </c>
      <c r="CG96" s="70">
        <f t="shared" si="137"/>
        <v>90</v>
      </c>
      <c r="CH96" s="69">
        <f t="shared" si="135"/>
        <v>260330.30001199999</v>
      </c>
      <c r="CI96" s="69">
        <f t="shared" si="136"/>
        <v>800803.59001599997</v>
      </c>
      <c r="CJ96" s="68">
        <f t="shared" si="74"/>
        <v>26.05841667</v>
      </c>
      <c r="CK96" s="68">
        <f t="shared" si="75"/>
        <v>80.134330559999995</v>
      </c>
      <c r="CL96" s="68">
        <f t="shared" si="76"/>
        <v>26.05841667</v>
      </c>
      <c r="CM96" s="68">
        <f t="shared" si="77"/>
        <v>80.134330559999995</v>
      </c>
      <c r="CN96" s="68">
        <f t="shared" si="78"/>
        <v>0</v>
      </c>
      <c r="CO96" s="68">
        <f t="shared" si="79"/>
        <v>0</v>
      </c>
      <c r="CP96" s="68">
        <f t="shared" si="80"/>
        <v>0.43928729614546391</v>
      </c>
      <c r="CQ96" s="68">
        <f t="shared" si="81"/>
        <v>1.0027157713556663</v>
      </c>
      <c r="CR96" s="68">
        <f t="shared" si="82"/>
        <v>0</v>
      </c>
      <c r="CS96" s="68">
        <f t="shared" si="83"/>
        <v>0.48899531699999998</v>
      </c>
      <c r="CT96" s="68">
        <f t="shared" si="84"/>
        <v>0.23911642</v>
      </c>
      <c r="CU96" s="68">
        <f t="shared" si="85"/>
        <v>0</v>
      </c>
      <c r="CV96" s="68">
        <f t="shared" si="86"/>
        <v>0</v>
      </c>
      <c r="CW96" s="68">
        <f t="shared" si="87"/>
        <v>0</v>
      </c>
      <c r="CX96" s="68">
        <f t="shared" si="88"/>
        <v>0</v>
      </c>
      <c r="CY96" s="68">
        <f t="shared" si="89"/>
        <v>0</v>
      </c>
      <c r="CZ96" s="68" t="e">
        <f t="shared" si="90"/>
        <v>#DIV/0!</v>
      </c>
      <c r="DA96" s="68" t="e">
        <f t="shared" si="91"/>
        <v>#DIV/0!</v>
      </c>
      <c r="DB96" s="68" t="e">
        <f t="shared" si="92"/>
        <v>#DIV/0!</v>
      </c>
      <c r="DC96" s="68" t="e">
        <f t="shared" si="93"/>
        <v>#DIV/0!</v>
      </c>
      <c r="DD96" s="68" t="e">
        <f t="shared" si="94"/>
        <v>#DIV/0!</v>
      </c>
      <c r="DE96" s="68" t="e">
        <f t="shared" si="95"/>
        <v>#DIV/0!</v>
      </c>
      <c r="DF96" s="68" t="e">
        <f t="shared" si="96"/>
        <v>#DIV/0!</v>
      </c>
      <c r="DG96" s="68">
        <f t="shared" si="97"/>
        <v>0.45480516874807669</v>
      </c>
      <c r="DH96" s="68">
        <f t="shared" si="98"/>
        <v>1.3986079121535113</v>
      </c>
      <c r="DI96" s="68">
        <f t="shared" si="99"/>
        <v>1.5707963267948966</v>
      </c>
      <c r="DJ96" s="68" t="e">
        <f t="shared" si="100"/>
        <v>#DIV/0!</v>
      </c>
      <c r="DK96" s="68" t="e">
        <f t="shared" si="101"/>
        <v>#DIV/0!</v>
      </c>
      <c r="DL96" s="68" t="e">
        <f t="shared" si="102"/>
        <v>#DIV/0!</v>
      </c>
      <c r="DM96" s="68" t="e">
        <f t="shared" si="103"/>
        <v>#DIV/0!</v>
      </c>
      <c r="DN96" s="68" t="e">
        <f t="shared" si="104"/>
        <v>#DIV/0!</v>
      </c>
      <c r="DO96" s="68" t="e">
        <f t="shared" si="105"/>
        <v>#DIV/0!</v>
      </c>
      <c r="DP96" s="68" t="e">
        <f t="shared" si="106"/>
        <v>#DIV/0!</v>
      </c>
      <c r="DQ96" s="68" t="e">
        <f t="shared" si="107"/>
        <v>#DIV/0!</v>
      </c>
      <c r="DR96" s="68" t="e">
        <f t="shared" si="108"/>
        <v>#DIV/0!</v>
      </c>
      <c r="DS96" s="68" t="e">
        <f t="shared" si="109"/>
        <v>#DIV/0!</v>
      </c>
      <c r="DT96" s="68" t="e">
        <f t="shared" si="110"/>
        <v>#DIV/0!</v>
      </c>
      <c r="DU96" s="68" t="e">
        <f t="shared" si="111"/>
        <v>#DIV/0!</v>
      </c>
      <c r="DV96" s="68" t="e">
        <f t="shared" si="112"/>
        <v>#DIV/0!</v>
      </c>
      <c r="DW96" s="68" t="e">
        <f t="shared" si="113"/>
        <v>#DIV/0!</v>
      </c>
      <c r="DX96" s="68">
        <f t="shared" si="114"/>
        <v>26.05841667</v>
      </c>
      <c r="DY96" s="68">
        <f t="shared" si="115"/>
        <v>80.134330559999995</v>
      </c>
      <c r="DZ96" s="68" t="e">
        <f t="shared" si="116"/>
        <v>#DIV/0!</v>
      </c>
      <c r="EA96" s="68" t="e">
        <f t="shared" si="117"/>
        <v>#DIV/0!</v>
      </c>
      <c r="EB96" s="68" t="e">
        <f t="shared" si="118"/>
        <v>#DIV/0!</v>
      </c>
      <c r="EC96" s="68" t="e">
        <f t="shared" si="119"/>
        <v>#DIV/0!</v>
      </c>
      <c r="ED96" s="68" t="e">
        <f t="shared" si="120"/>
        <v>#DIV/0!</v>
      </c>
      <c r="EE96" s="68" t="e">
        <f t="shared" si="121"/>
        <v>#DIV/0!</v>
      </c>
      <c r="EF96" s="68" t="e">
        <f t="shared" si="122"/>
        <v>#DIV/0!</v>
      </c>
      <c r="EG96" s="68" t="e">
        <f t="shared" si="123"/>
        <v>#DIV/0!</v>
      </c>
      <c r="EH96" s="68" t="e">
        <f t="shared" si="124"/>
        <v>#DIV/0!</v>
      </c>
      <c r="EI96" s="68" t="e">
        <f t="shared" si="125"/>
        <v>#DIV/0!</v>
      </c>
      <c r="EJ96" s="68" t="e">
        <f t="shared" si="126"/>
        <v>#DIV/0!</v>
      </c>
      <c r="EK96" s="68" t="e">
        <f t="shared" si="127"/>
        <v>#DIV/0!</v>
      </c>
      <c r="EL96" s="68" t="e">
        <f t="shared" si="128"/>
        <v>#DIV/0!</v>
      </c>
      <c r="EM96" s="68" t="e">
        <f t="shared" si="129"/>
        <v>#DIV/0!</v>
      </c>
      <c r="EN96" s="68" t="e">
        <f t="shared" si="130"/>
        <v>#DIV/0!</v>
      </c>
      <c r="EO96" s="68" t="e">
        <f t="shared" si="131"/>
        <v>#DIV/0!</v>
      </c>
      <c r="EP96" s="68" t="e">
        <f t="shared" si="132"/>
        <v>#DIV/0!</v>
      </c>
      <c r="EQ96" s="68" t="e">
        <f t="shared" si="133"/>
        <v>#DIV/0!</v>
      </c>
      <c r="ER96" s="68" t="e">
        <f t="shared" si="134"/>
        <v>#DIV/0!</v>
      </c>
    </row>
    <row r="97" spans="82:148" x14ac:dyDescent="0.25">
      <c r="CD97" s="68" t="s">
        <v>604</v>
      </c>
      <c r="CE97" s="69">
        <f t="shared" si="72"/>
        <v>260330.3</v>
      </c>
      <c r="CF97" s="69">
        <f t="shared" si="73"/>
        <v>800803.59</v>
      </c>
      <c r="CG97" s="70">
        <f t="shared" si="137"/>
        <v>90</v>
      </c>
      <c r="CH97" s="69">
        <f t="shared" si="135"/>
        <v>260330.30001199999</v>
      </c>
      <c r="CI97" s="69">
        <f t="shared" si="136"/>
        <v>800803.59001599997</v>
      </c>
      <c r="CJ97" s="68">
        <f t="shared" si="74"/>
        <v>26.05841667</v>
      </c>
      <c r="CK97" s="68">
        <f t="shared" si="75"/>
        <v>80.134330559999995</v>
      </c>
      <c r="CL97" s="68">
        <f t="shared" si="76"/>
        <v>26.05841667</v>
      </c>
      <c r="CM97" s="68">
        <f t="shared" si="77"/>
        <v>80.134330559999995</v>
      </c>
      <c r="CN97" s="68">
        <f t="shared" si="78"/>
        <v>0</v>
      </c>
      <c r="CO97" s="68">
        <f t="shared" si="79"/>
        <v>0</v>
      </c>
      <c r="CP97" s="68">
        <f t="shared" si="80"/>
        <v>0.43928729614546391</v>
      </c>
      <c r="CQ97" s="68">
        <f t="shared" si="81"/>
        <v>1.0027157713556663</v>
      </c>
      <c r="CR97" s="68">
        <f t="shared" si="82"/>
        <v>0</v>
      </c>
      <c r="CS97" s="68">
        <f t="shared" si="83"/>
        <v>0.48899531699999998</v>
      </c>
      <c r="CT97" s="68">
        <f t="shared" si="84"/>
        <v>0.23911642</v>
      </c>
      <c r="CU97" s="68">
        <f t="shared" si="85"/>
        <v>0</v>
      </c>
      <c r="CV97" s="68">
        <f t="shared" si="86"/>
        <v>0</v>
      </c>
      <c r="CW97" s="68">
        <f t="shared" si="87"/>
        <v>0</v>
      </c>
      <c r="CX97" s="68">
        <f t="shared" si="88"/>
        <v>0</v>
      </c>
      <c r="CY97" s="68">
        <f t="shared" si="89"/>
        <v>0</v>
      </c>
      <c r="CZ97" s="68" t="e">
        <f t="shared" si="90"/>
        <v>#DIV/0!</v>
      </c>
      <c r="DA97" s="68" t="e">
        <f t="shared" si="91"/>
        <v>#DIV/0!</v>
      </c>
      <c r="DB97" s="68" t="e">
        <f t="shared" si="92"/>
        <v>#DIV/0!</v>
      </c>
      <c r="DC97" s="68" t="e">
        <f t="shared" si="93"/>
        <v>#DIV/0!</v>
      </c>
      <c r="DD97" s="68" t="e">
        <f t="shared" si="94"/>
        <v>#DIV/0!</v>
      </c>
      <c r="DE97" s="68" t="e">
        <f t="shared" si="95"/>
        <v>#DIV/0!</v>
      </c>
      <c r="DF97" s="68" t="e">
        <f t="shared" si="96"/>
        <v>#DIV/0!</v>
      </c>
      <c r="DG97" s="68">
        <f t="shared" si="97"/>
        <v>0.45480516874807669</v>
      </c>
      <c r="DH97" s="68">
        <f t="shared" si="98"/>
        <v>1.3986079121535113</v>
      </c>
      <c r="DI97" s="68">
        <f t="shared" si="99"/>
        <v>1.5707963267948966</v>
      </c>
      <c r="DJ97" s="68" t="e">
        <f t="shared" si="100"/>
        <v>#DIV/0!</v>
      </c>
      <c r="DK97" s="68" t="e">
        <f t="shared" si="101"/>
        <v>#DIV/0!</v>
      </c>
      <c r="DL97" s="68" t="e">
        <f t="shared" si="102"/>
        <v>#DIV/0!</v>
      </c>
      <c r="DM97" s="68" t="e">
        <f t="shared" si="103"/>
        <v>#DIV/0!</v>
      </c>
      <c r="DN97" s="68" t="e">
        <f t="shared" si="104"/>
        <v>#DIV/0!</v>
      </c>
      <c r="DO97" s="68" t="e">
        <f t="shared" si="105"/>
        <v>#DIV/0!</v>
      </c>
      <c r="DP97" s="68" t="e">
        <f t="shared" si="106"/>
        <v>#DIV/0!</v>
      </c>
      <c r="DQ97" s="68" t="e">
        <f t="shared" si="107"/>
        <v>#DIV/0!</v>
      </c>
      <c r="DR97" s="68" t="e">
        <f t="shared" si="108"/>
        <v>#DIV/0!</v>
      </c>
      <c r="DS97" s="68" t="e">
        <f t="shared" si="109"/>
        <v>#DIV/0!</v>
      </c>
      <c r="DT97" s="68" t="e">
        <f t="shared" si="110"/>
        <v>#DIV/0!</v>
      </c>
      <c r="DU97" s="68" t="e">
        <f t="shared" si="111"/>
        <v>#DIV/0!</v>
      </c>
      <c r="DV97" s="68" t="e">
        <f t="shared" si="112"/>
        <v>#DIV/0!</v>
      </c>
      <c r="DW97" s="68" t="e">
        <f t="shared" si="113"/>
        <v>#DIV/0!</v>
      </c>
      <c r="DX97" s="68">
        <f t="shared" si="114"/>
        <v>26.05841667</v>
      </c>
      <c r="DY97" s="68">
        <f t="shared" si="115"/>
        <v>80.134330559999995</v>
      </c>
      <c r="DZ97" s="68" t="e">
        <f t="shared" si="116"/>
        <v>#DIV/0!</v>
      </c>
      <c r="EA97" s="68" t="e">
        <f t="shared" si="117"/>
        <v>#DIV/0!</v>
      </c>
      <c r="EB97" s="68" t="e">
        <f t="shared" si="118"/>
        <v>#DIV/0!</v>
      </c>
      <c r="EC97" s="68" t="e">
        <f t="shared" si="119"/>
        <v>#DIV/0!</v>
      </c>
      <c r="ED97" s="68" t="e">
        <f t="shared" si="120"/>
        <v>#DIV/0!</v>
      </c>
      <c r="EE97" s="68" t="e">
        <f t="shared" si="121"/>
        <v>#DIV/0!</v>
      </c>
      <c r="EF97" s="68" t="e">
        <f t="shared" si="122"/>
        <v>#DIV/0!</v>
      </c>
      <c r="EG97" s="68" t="e">
        <f t="shared" si="123"/>
        <v>#DIV/0!</v>
      </c>
      <c r="EH97" s="68" t="e">
        <f t="shared" si="124"/>
        <v>#DIV/0!</v>
      </c>
      <c r="EI97" s="68" t="e">
        <f t="shared" si="125"/>
        <v>#DIV/0!</v>
      </c>
      <c r="EJ97" s="68" t="e">
        <f t="shared" si="126"/>
        <v>#DIV/0!</v>
      </c>
      <c r="EK97" s="68" t="e">
        <f t="shared" si="127"/>
        <v>#DIV/0!</v>
      </c>
      <c r="EL97" s="68" t="e">
        <f t="shared" si="128"/>
        <v>#DIV/0!</v>
      </c>
      <c r="EM97" s="68" t="e">
        <f t="shared" si="129"/>
        <v>#DIV/0!</v>
      </c>
      <c r="EN97" s="68" t="e">
        <f t="shared" si="130"/>
        <v>#DIV/0!</v>
      </c>
      <c r="EO97" s="68" t="e">
        <f t="shared" si="131"/>
        <v>#DIV/0!</v>
      </c>
      <c r="EP97" s="68" t="e">
        <f t="shared" si="132"/>
        <v>#DIV/0!</v>
      </c>
      <c r="EQ97" s="68" t="e">
        <f t="shared" si="133"/>
        <v>#DIV/0!</v>
      </c>
      <c r="ER97" s="68" t="e">
        <f t="shared" si="134"/>
        <v>#DIV/0!</v>
      </c>
    </row>
    <row r="98" spans="82:148" x14ac:dyDescent="0.25">
      <c r="CD98" s="68" t="s">
        <v>605</v>
      </c>
      <c r="CE98" s="69">
        <f t="shared" si="72"/>
        <v>260330.3</v>
      </c>
      <c r="CF98" s="69">
        <f t="shared" si="73"/>
        <v>800803.59</v>
      </c>
      <c r="CG98" s="70">
        <f t="shared" si="137"/>
        <v>90</v>
      </c>
      <c r="CH98" s="69">
        <f t="shared" si="135"/>
        <v>260330.30001199999</v>
      </c>
      <c r="CI98" s="69">
        <f t="shared" si="136"/>
        <v>800803.59001599997</v>
      </c>
      <c r="CJ98" s="68">
        <f t="shared" si="74"/>
        <v>26.05841667</v>
      </c>
      <c r="CK98" s="68">
        <f t="shared" si="75"/>
        <v>80.134330559999995</v>
      </c>
      <c r="CL98" s="68">
        <f t="shared" si="76"/>
        <v>26.05841667</v>
      </c>
      <c r="CM98" s="68">
        <f t="shared" si="77"/>
        <v>80.134330559999995</v>
      </c>
      <c r="CN98" s="68">
        <f t="shared" si="78"/>
        <v>0</v>
      </c>
      <c r="CO98" s="68">
        <f t="shared" si="79"/>
        <v>0</v>
      </c>
      <c r="CP98" s="68">
        <f t="shared" si="80"/>
        <v>0.43928729614546391</v>
      </c>
      <c r="CQ98" s="68">
        <f t="shared" si="81"/>
        <v>1.0027157713556663</v>
      </c>
      <c r="CR98" s="68">
        <f t="shared" si="82"/>
        <v>0</v>
      </c>
      <c r="CS98" s="68">
        <f t="shared" si="83"/>
        <v>0.48899531699999998</v>
      </c>
      <c r="CT98" s="68">
        <f t="shared" si="84"/>
        <v>0.23911642</v>
      </c>
      <c r="CU98" s="68">
        <f t="shared" si="85"/>
        <v>0</v>
      </c>
      <c r="CV98" s="68">
        <f t="shared" si="86"/>
        <v>0</v>
      </c>
      <c r="CW98" s="68">
        <f t="shared" si="87"/>
        <v>0</v>
      </c>
      <c r="CX98" s="68">
        <f t="shared" si="88"/>
        <v>0</v>
      </c>
      <c r="CY98" s="68">
        <f t="shared" si="89"/>
        <v>0</v>
      </c>
      <c r="CZ98" s="68" t="e">
        <f t="shared" si="90"/>
        <v>#DIV/0!</v>
      </c>
      <c r="DA98" s="68" t="e">
        <f t="shared" si="91"/>
        <v>#DIV/0!</v>
      </c>
      <c r="DB98" s="68" t="e">
        <f t="shared" si="92"/>
        <v>#DIV/0!</v>
      </c>
      <c r="DC98" s="68" t="e">
        <f t="shared" si="93"/>
        <v>#DIV/0!</v>
      </c>
      <c r="DD98" s="68" t="e">
        <f t="shared" si="94"/>
        <v>#DIV/0!</v>
      </c>
      <c r="DE98" s="68" t="e">
        <f t="shared" si="95"/>
        <v>#DIV/0!</v>
      </c>
      <c r="DF98" s="68" t="e">
        <f t="shared" si="96"/>
        <v>#DIV/0!</v>
      </c>
      <c r="DG98" s="68">
        <f t="shared" si="97"/>
        <v>0.45480516874807669</v>
      </c>
      <c r="DH98" s="68">
        <f t="shared" si="98"/>
        <v>1.3986079121535113</v>
      </c>
      <c r="DI98" s="68">
        <f t="shared" si="99"/>
        <v>1.5707963267948966</v>
      </c>
      <c r="DJ98" s="68" t="e">
        <f t="shared" si="100"/>
        <v>#DIV/0!</v>
      </c>
      <c r="DK98" s="68" t="e">
        <f t="shared" si="101"/>
        <v>#DIV/0!</v>
      </c>
      <c r="DL98" s="68" t="e">
        <f t="shared" si="102"/>
        <v>#DIV/0!</v>
      </c>
      <c r="DM98" s="68" t="e">
        <f t="shared" si="103"/>
        <v>#DIV/0!</v>
      </c>
      <c r="DN98" s="68" t="e">
        <f t="shared" si="104"/>
        <v>#DIV/0!</v>
      </c>
      <c r="DO98" s="68" t="e">
        <f t="shared" si="105"/>
        <v>#DIV/0!</v>
      </c>
      <c r="DP98" s="68" t="e">
        <f t="shared" si="106"/>
        <v>#DIV/0!</v>
      </c>
      <c r="DQ98" s="68" t="e">
        <f t="shared" si="107"/>
        <v>#DIV/0!</v>
      </c>
      <c r="DR98" s="68" t="e">
        <f t="shared" si="108"/>
        <v>#DIV/0!</v>
      </c>
      <c r="DS98" s="68" t="e">
        <f t="shared" si="109"/>
        <v>#DIV/0!</v>
      </c>
      <c r="DT98" s="68" t="e">
        <f t="shared" si="110"/>
        <v>#DIV/0!</v>
      </c>
      <c r="DU98" s="68" t="e">
        <f t="shared" si="111"/>
        <v>#DIV/0!</v>
      </c>
      <c r="DV98" s="68" t="e">
        <f t="shared" si="112"/>
        <v>#DIV/0!</v>
      </c>
      <c r="DW98" s="68" t="e">
        <f t="shared" si="113"/>
        <v>#DIV/0!</v>
      </c>
      <c r="DX98" s="68">
        <f t="shared" si="114"/>
        <v>26.05841667</v>
      </c>
      <c r="DY98" s="68">
        <f t="shared" si="115"/>
        <v>80.134330559999995</v>
      </c>
      <c r="DZ98" s="68" t="e">
        <f t="shared" si="116"/>
        <v>#DIV/0!</v>
      </c>
      <c r="EA98" s="68" t="e">
        <f t="shared" si="117"/>
        <v>#DIV/0!</v>
      </c>
      <c r="EB98" s="68" t="e">
        <f t="shared" si="118"/>
        <v>#DIV/0!</v>
      </c>
      <c r="EC98" s="68" t="e">
        <f t="shared" si="119"/>
        <v>#DIV/0!</v>
      </c>
      <c r="ED98" s="68" t="e">
        <f t="shared" si="120"/>
        <v>#DIV/0!</v>
      </c>
      <c r="EE98" s="68" t="e">
        <f t="shared" si="121"/>
        <v>#DIV/0!</v>
      </c>
      <c r="EF98" s="68" t="e">
        <f t="shared" si="122"/>
        <v>#DIV/0!</v>
      </c>
      <c r="EG98" s="68" t="e">
        <f t="shared" si="123"/>
        <v>#DIV/0!</v>
      </c>
      <c r="EH98" s="68" t="e">
        <f t="shared" si="124"/>
        <v>#DIV/0!</v>
      </c>
      <c r="EI98" s="68" t="e">
        <f t="shared" si="125"/>
        <v>#DIV/0!</v>
      </c>
      <c r="EJ98" s="68" t="e">
        <f t="shared" si="126"/>
        <v>#DIV/0!</v>
      </c>
      <c r="EK98" s="68" t="e">
        <f t="shared" si="127"/>
        <v>#DIV/0!</v>
      </c>
      <c r="EL98" s="68" t="e">
        <f t="shared" si="128"/>
        <v>#DIV/0!</v>
      </c>
      <c r="EM98" s="68" t="e">
        <f t="shared" si="129"/>
        <v>#DIV/0!</v>
      </c>
      <c r="EN98" s="68" t="e">
        <f t="shared" si="130"/>
        <v>#DIV/0!</v>
      </c>
      <c r="EO98" s="68" t="e">
        <f t="shared" si="131"/>
        <v>#DIV/0!</v>
      </c>
      <c r="EP98" s="68" t="e">
        <f t="shared" si="132"/>
        <v>#DIV/0!</v>
      </c>
      <c r="EQ98" s="68" t="e">
        <f t="shared" si="133"/>
        <v>#DIV/0!</v>
      </c>
      <c r="ER98" s="68" t="e">
        <f t="shared" si="134"/>
        <v>#DIV/0!</v>
      </c>
    </row>
    <row r="99" spans="82:148" x14ac:dyDescent="0.25">
      <c r="CD99" s="68" t="s">
        <v>606</v>
      </c>
      <c r="CE99" s="69">
        <f t="shared" si="72"/>
        <v>260330.3</v>
      </c>
      <c r="CF99" s="69">
        <f t="shared" si="73"/>
        <v>800803.59</v>
      </c>
      <c r="CG99" s="70">
        <f t="shared" si="137"/>
        <v>90</v>
      </c>
      <c r="CH99" s="69">
        <f t="shared" si="135"/>
        <v>260330.30001199999</v>
      </c>
      <c r="CI99" s="69">
        <f t="shared" si="136"/>
        <v>800803.59001599997</v>
      </c>
      <c r="CJ99" s="68">
        <f t="shared" si="74"/>
        <v>26.05841667</v>
      </c>
      <c r="CK99" s="68">
        <f t="shared" si="75"/>
        <v>80.134330559999995</v>
      </c>
      <c r="CL99" s="68">
        <f t="shared" si="76"/>
        <v>26.05841667</v>
      </c>
      <c r="CM99" s="68">
        <f t="shared" si="77"/>
        <v>80.134330559999995</v>
      </c>
      <c r="CN99" s="68">
        <f t="shared" si="78"/>
        <v>0</v>
      </c>
      <c r="CO99" s="68">
        <f t="shared" si="79"/>
        <v>0</v>
      </c>
      <c r="CP99" s="68">
        <f t="shared" si="80"/>
        <v>0.43928729614546391</v>
      </c>
      <c r="CQ99" s="68">
        <f t="shared" si="81"/>
        <v>1.0027157713556663</v>
      </c>
      <c r="CR99" s="68">
        <f t="shared" si="82"/>
        <v>0</v>
      </c>
      <c r="CS99" s="68">
        <f t="shared" si="83"/>
        <v>0.48899531699999998</v>
      </c>
      <c r="CT99" s="68">
        <f t="shared" si="84"/>
        <v>0.23911642</v>
      </c>
      <c r="CU99" s="68">
        <f t="shared" si="85"/>
        <v>0</v>
      </c>
      <c r="CV99" s="68">
        <f t="shared" si="86"/>
        <v>0</v>
      </c>
      <c r="CW99" s="68">
        <f t="shared" si="87"/>
        <v>0</v>
      </c>
      <c r="CX99" s="68">
        <f t="shared" si="88"/>
        <v>0</v>
      </c>
      <c r="CY99" s="68">
        <f t="shared" si="89"/>
        <v>0</v>
      </c>
      <c r="CZ99" s="68" t="e">
        <f t="shared" si="90"/>
        <v>#DIV/0!</v>
      </c>
      <c r="DA99" s="68" t="e">
        <f t="shared" si="91"/>
        <v>#DIV/0!</v>
      </c>
      <c r="DB99" s="68" t="e">
        <f t="shared" si="92"/>
        <v>#DIV/0!</v>
      </c>
      <c r="DC99" s="68" t="e">
        <f t="shared" si="93"/>
        <v>#DIV/0!</v>
      </c>
      <c r="DD99" s="68" t="e">
        <f t="shared" si="94"/>
        <v>#DIV/0!</v>
      </c>
      <c r="DE99" s="68" t="e">
        <f t="shared" si="95"/>
        <v>#DIV/0!</v>
      </c>
      <c r="DF99" s="68" t="e">
        <f t="shared" si="96"/>
        <v>#DIV/0!</v>
      </c>
      <c r="DG99" s="68">
        <f t="shared" si="97"/>
        <v>0.45480516874807669</v>
      </c>
      <c r="DH99" s="68">
        <f t="shared" si="98"/>
        <v>1.3986079121535113</v>
      </c>
      <c r="DI99" s="68">
        <f t="shared" si="99"/>
        <v>1.5707963267948966</v>
      </c>
      <c r="DJ99" s="68" t="e">
        <f t="shared" si="100"/>
        <v>#DIV/0!</v>
      </c>
      <c r="DK99" s="68" t="e">
        <f t="shared" si="101"/>
        <v>#DIV/0!</v>
      </c>
      <c r="DL99" s="68" t="e">
        <f t="shared" si="102"/>
        <v>#DIV/0!</v>
      </c>
      <c r="DM99" s="68" t="e">
        <f t="shared" si="103"/>
        <v>#DIV/0!</v>
      </c>
      <c r="DN99" s="68" t="e">
        <f t="shared" si="104"/>
        <v>#DIV/0!</v>
      </c>
      <c r="DO99" s="68" t="e">
        <f t="shared" si="105"/>
        <v>#DIV/0!</v>
      </c>
      <c r="DP99" s="68" t="e">
        <f t="shared" si="106"/>
        <v>#DIV/0!</v>
      </c>
      <c r="DQ99" s="68" t="e">
        <f t="shared" si="107"/>
        <v>#DIV/0!</v>
      </c>
      <c r="DR99" s="68" t="e">
        <f t="shared" si="108"/>
        <v>#DIV/0!</v>
      </c>
      <c r="DS99" s="68" t="e">
        <f t="shared" si="109"/>
        <v>#DIV/0!</v>
      </c>
      <c r="DT99" s="68" t="e">
        <f t="shared" si="110"/>
        <v>#DIV/0!</v>
      </c>
      <c r="DU99" s="68" t="e">
        <f t="shared" si="111"/>
        <v>#DIV/0!</v>
      </c>
      <c r="DV99" s="68" t="e">
        <f t="shared" si="112"/>
        <v>#DIV/0!</v>
      </c>
      <c r="DW99" s="68" t="e">
        <f t="shared" si="113"/>
        <v>#DIV/0!</v>
      </c>
      <c r="DX99" s="68">
        <f t="shared" si="114"/>
        <v>26.05841667</v>
      </c>
      <c r="DY99" s="68">
        <f t="shared" si="115"/>
        <v>80.134330559999995</v>
      </c>
      <c r="DZ99" s="68" t="e">
        <f t="shared" si="116"/>
        <v>#DIV/0!</v>
      </c>
      <c r="EA99" s="68" t="e">
        <f t="shared" si="117"/>
        <v>#DIV/0!</v>
      </c>
      <c r="EB99" s="68" t="e">
        <f t="shared" si="118"/>
        <v>#DIV/0!</v>
      </c>
      <c r="EC99" s="68" t="e">
        <f t="shared" si="119"/>
        <v>#DIV/0!</v>
      </c>
      <c r="ED99" s="68" t="e">
        <f t="shared" si="120"/>
        <v>#DIV/0!</v>
      </c>
      <c r="EE99" s="68" t="e">
        <f t="shared" si="121"/>
        <v>#DIV/0!</v>
      </c>
      <c r="EF99" s="68" t="e">
        <f t="shared" si="122"/>
        <v>#DIV/0!</v>
      </c>
      <c r="EG99" s="68" t="e">
        <f t="shared" si="123"/>
        <v>#DIV/0!</v>
      </c>
      <c r="EH99" s="68" t="e">
        <f t="shared" si="124"/>
        <v>#DIV/0!</v>
      </c>
      <c r="EI99" s="68" t="e">
        <f t="shared" si="125"/>
        <v>#DIV/0!</v>
      </c>
      <c r="EJ99" s="68" t="e">
        <f t="shared" si="126"/>
        <v>#DIV/0!</v>
      </c>
      <c r="EK99" s="68" t="e">
        <f t="shared" si="127"/>
        <v>#DIV/0!</v>
      </c>
      <c r="EL99" s="68" t="e">
        <f t="shared" si="128"/>
        <v>#DIV/0!</v>
      </c>
      <c r="EM99" s="68" t="e">
        <f t="shared" si="129"/>
        <v>#DIV/0!</v>
      </c>
      <c r="EN99" s="68" t="e">
        <f t="shared" si="130"/>
        <v>#DIV/0!</v>
      </c>
      <c r="EO99" s="68" t="e">
        <f t="shared" si="131"/>
        <v>#DIV/0!</v>
      </c>
      <c r="EP99" s="68" t="e">
        <f t="shared" si="132"/>
        <v>#DIV/0!</v>
      </c>
      <c r="EQ99" s="68" t="e">
        <f t="shared" si="133"/>
        <v>#DIV/0!</v>
      </c>
      <c r="ER99" s="68" t="e">
        <f t="shared" si="134"/>
        <v>#DIV/0!</v>
      </c>
    </row>
    <row r="100" spans="82:148" x14ac:dyDescent="0.25">
      <c r="CD100" s="68" t="s">
        <v>607</v>
      </c>
      <c r="CE100" s="69">
        <f t="shared" si="72"/>
        <v>260330.3</v>
      </c>
      <c r="CF100" s="69">
        <f t="shared" si="73"/>
        <v>800803.59</v>
      </c>
      <c r="CG100" s="70">
        <f t="shared" si="137"/>
        <v>90</v>
      </c>
      <c r="CH100" s="69">
        <f t="shared" si="135"/>
        <v>260330.30001199999</v>
      </c>
      <c r="CI100" s="69">
        <f t="shared" si="136"/>
        <v>800803.59001599997</v>
      </c>
      <c r="CJ100" s="68">
        <f t="shared" si="74"/>
        <v>26.05841667</v>
      </c>
      <c r="CK100" s="68">
        <f t="shared" si="75"/>
        <v>80.134330559999995</v>
      </c>
      <c r="CL100" s="68">
        <f t="shared" si="76"/>
        <v>26.05841667</v>
      </c>
      <c r="CM100" s="68">
        <f t="shared" si="77"/>
        <v>80.134330559999995</v>
      </c>
      <c r="CN100" s="68">
        <f t="shared" si="78"/>
        <v>0</v>
      </c>
      <c r="CO100" s="68">
        <f t="shared" si="79"/>
        <v>0</v>
      </c>
      <c r="CP100" s="68">
        <f t="shared" si="80"/>
        <v>0.43928729614546391</v>
      </c>
      <c r="CQ100" s="68">
        <f t="shared" si="81"/>
        <v>1.0027157713556663</v>
      </c>
      <c r="CR100" s="68">
        <f t="shared" si="82"/>
        <v>0</v>
      </c>
      <c r="CS100" s="68">
        <f t="shared" si="83"/>
        <v>0.48899531699999998</v>
      </c>
      <c r="CT100" s="68">
        <f t="shared" si="84"/>
        <v>0.23911642</v>
      </c>
      <c r="CU100" s="68">
        <f t="shared" si="85"/>
        <v>0</v>
      </c>
      <c r="CV100" s="68">
        <f t="shared" si="86"/>
        <v>0</v>
      </c>
      <c r="CW100" s="68">
        <f t="shared" si="87"/>
        <v>0</v>
      </c>
      <c r="CX100" s="68">
        <f t="shared" si="88"/>
        <v>0</v>
      </c>
      <c r="CY100" s="68">
        <f t="shared" si="89"/>
        <v>0</v>
      </c>
      <c r="CZ100" s="68" t="e">
        <f t="shared" si="90"/>
        <v>#DIV/0!</v>
      </c>
      <c r="DA100" s="68" t="e">
        <f t="shared" si="91"/>
        <v>#DIV/0!</v>
      </c>
      <c r="DB100" s="68" t="e">
        <f t="shared" si="92"/>
        <v>#DIV/0!</v>
      </c>
      <c r="DC100" s="68" t="e">
        <f t="shared" si="93"/>
        <v>#DIV/0!</v>
      </c>
      <c r="DD100" s="68" t="e">
        <f t="shared" si="94"/>
        <v>#DIV/0!</v>
      </c>
      <c r="DE100" s="68" t="e">
        <f t="shared" si="95"/>
        <v>#DIV/0!</v>
      </c>
      <c r="DF100" s="68" t="e">
        <f t="shared" si="96"/>
        <v>#DIV/0!</v>
      </c>
      <c r="DG100" s="68">
        <f t="shared" si="97"/>
        <v>0.45480516874807669</v>
      </c>
      <c r="DH100" s="68">
        <f t="shared" si="98"/>
        <v>1.3986079121535113</v>
      </c>
      <c r="DI100" s="68">
        <f t="shared" si="99"/>
        <v>1.5707963267948966</v>
      </c>
      <c r="DJ100" s="68" t="e">
        <f t="shared" si="100"/>
        <v>#DIV/0!</v>
      </c>
      <c r="DK100" s="68" t="e">
        <f t="shared" si="101"/>
        <v>#DIV/0!</v>
      </c>
      <c r="DL100" s="68" t="e">
        <f t="shared" si="102"/>
        <v>#DIV/0!</v>
      </c>
      <c r="DM100" s="68" t="e">
        <f t="shared" si="103"/>
        <v>#DIV/0!</v>
      </c>
      <c r="DN100" s="68" t="e">
        <f t="shared" si="104"/>
        <v>#DIV/0!</v>
      </c>
      <c r="DO100" s="68" t="e">
        <f t="shared" si="105"/>
        <v>#DIV/0!</v>
      </c>
      <c r="DP100" s="68" t="e">
        <f t="shared" si="106"/>
        <v>#DIV/0!</v>
      </c>
      <c r="DQ100" s="68" t="e">
        <f t="shared" si="107"/>
        <v>#DIV/0!</v>
      </c>
      <c r="DR100" s="68" t="e">
        <f t="shared" si="108"/>
        <v>#DIV/0!</v>
      </c>
      <c r="DS100" s="68" t="e">
        <f t="shared" si="109"/>
        <v>#DIV/0!</v>
      </c>
      <c r="DT100" s="68" t="e">
        <f t="shared" si="110"/>
        <v>#DIV/0!</v>
      </c>
      <c r="DU100" s="68" t="e">
        <f t="shared" si="111"/>
        <v>#DIV/0!</v>
      </c>
      <c r="DV100" s="68" t="e">
        <f t="shared" si="112"/>
        <v>#DIV/0!</v>
      </c>
      <c r="DW100" s="68" t="e">
        <f t="shared" si="113"/>
        <v>#DIV/0!</v>
      </c>
      <c r="DX100" s="68">
        <f t="shared" si="114"/>
        <v>26.05841667</v>
      </c>
      <c r="DY100" s="68">
        <f t="shared" si="115"/>
        <v>80.134330559999995</v>
      </c>
      <c r="DZ100" s="68" t="e">
        <f t="shared" si="116"/>
        <v>#DIV/0!</v>
      </c>
      <c r="EA100" s="68" t="e">
        <f t="shared" si="117"/>
        <v>#DIV/0!</v>
      </c>
      <c r="EB100" s="68" t="e">
        <f t="shared" si="118"/>
        <v>#DIV/0!</v>
      </c>
      <c r="EC100" s="68" t="e">
        <f t="shared" si="119"/>
        <v>#DIV/0!</v>
      </c>
      <c r="ED100" s="68" t="e">
        <f t="shared" si="120"/>
        <v>#DIV/0!</v>
      </c>
      <c r="EE100" s="68" t="e">
        <f t="shared" si="121"/>
        <v>#DIV/0!</v>
      </c>
      <c r="EF100" s="68" t="e">
        <f t="shared" si="122"/>
        <v>#DIV/0!</v>
      </c>
      <c r="EG100" s="68" t="e">
        <f t="shared" si="123"/>
        <v>#DIV/0!</v>
      </c>
      <c r="EH100" s="68" t="e">
        <f t="shared" si="124"/>
        <v>#DIV/0!</v>
      </c>
      <c r="EI100" s="68" t="e">
        <f t="shared" si="125"/>
        <v>#DIV/0!</v>
      </c>
      <c r="EJ100" s="68" t="e">
        <f t="shared" si="126"/>
        <v>#DIV/0!</v>
      </c>
      <c r="EK100" s="68" t="e">
        <f t="shared" si="127"/>
        <v>#DIV/0!</v>
      </c>
      <c r="EL100" s="68" t="e">
        <f t="shared" si="128"/>
        <v>#DIV/0!</v>
      </c>
      <c r="EM100" s="68" t="e">
        <f t="shared" si="129"/>
        <v>#DIV/0!</v>
      </c>
      <c r="EN100" s="68" t="e">
        <f t="shared" si="130"/>
        <v>#DIV/0!</v>
      </c>
      <c r="EO100" s="68" t="e">
        <f t="shared" si="131"/>
        <v>#DIV/0!</v>
      </c>
      <c r="EP100" s="68" t="e">
        <f t="shared" si="132"/>
        <v>#DIV/0!</v>
      </c>
      <c r="EQ100" s="68" t="e">
        <f t="shared" si="133"/>
        <v>#DIV/0!</v>
      </c>
      <c r="ER100" s="68" t="e">
        <f t="shared" si="134"/>
        <v>#DIV/0!</v>
      </c>
    </row>
    <row r="101" spans="82:148" x14ac:dyDescent="0.25">
      <c r="CD101" s="68" t="s">
        <v>608</v>
      </c>
      <c r="CE101" s="69">
        <f t="shared" si="72"/>
        <v>260330.3</v>
      </c>
      <c r="CF101" s="69">
        <f t="shared" si="73"/>
        <v>800803.59</v>
      </c>
      <c r="CG101" s="70">
        <f t="shared" si="137"/>
        <v>90</v>
      </c>
      <c r="CH101" s="69">
        <f t="shared" si="135"/>
        <v>260330.30001199999</v>
      </c>
      <c r="CI101" s="69">
        <f t="shared" si="136"/>
        <v>800803.59001599997</v>
      </c>
      <c r="CJ101" s="68">
        <f t="shared" si="74"/>
        <v>26.05841667</v>
      </c>
      <c r="CK101" s="68">
        <f t="shared" si="75"/>
        <v>80.134330559999995</v>
      </c>
      <c r="CL101" s="68">
        <f t="shared" si="76"/>
        <v>26.05841667</v>
      </c>
      <c r="CM101" s="68">
        <f t="shared" si="77"/>
        <v>80.134330559999995</v>
      </c>
      <c r="CN101" s="68">
        <f t="shared" si="78"/>
        <v>0</v>
      </c>
      <c r="CO101" s="68">
        <f t="shared" si="79"/>
        <v>0</v>
      </c>
      <c r="CP101" s="68">
        <f t="shared" si="80"/>
        <v>0.43928729614546391</v>
      </c>
      <c r="CQ101" s="68">
        <f t="shared" si="81"/>
        <v>1.0027157713556663</v>
      </c>
      <c r="CR101" s="68">
        <f t="shared" si="82"/>
        <v>0</v>
      </c>
      <c r="CS101" s="68">
        <f t="shared" si="83"/>
        <v>0.48899531699999998</v>
      </c>
      <c r="CT101" s="68">
        <f t="shared" si="84"/>
        <v>0.23911642</v>
      </c>
      <c r="CU101" s="68">
        <f t="shared" si="85"/>
        <v>0</v>
      </c>
      <c r="CV101" s="68">
        <f t="shared" si="86"/>
        <v>0</v>
      </c>
      <c r="CW101" s="68">
        <f t="shared" si="87"/>
        <v>0</v>
      </c>
      <c r="CX101" s="68">
        <f t="shared" si="88"/>
        <v>0</v>
      </c>
      <c r="CY101" s="68">
        <f t="shared" si="89"/>
        <v>0</v>
      </c>
      <c r="CZ101" s="68" t="e">
        <f t="shared" si="90"/>
        <v>#DIV/0!</v>
      </c>
      <c r="DA101" s="68" t="e">
        <f t="shared" si="91"/>
        <v>#DIV/0!</v>
      </c>
      <c r="DB101" s="68" t="e">
        <f t="shared" si="92"/>
        <v>#DIV/0!</v>
      </c>
      <c r="DC101" s="68" t="e">
        <f t="shared" si="93"/>
        <v>#DIV/0!</v>
      </c>
      <c r="DD101" s="68" t="e">
        <f t="shared" si="94"/>
        <v>#DIV/0!</v>
      </c>
      <c r="DE101" s="68" t="e">
        <f t="shared" si="95"/>
        <v>#DIV/0!</v>
      </c>
      <c r="DF101" s="68" t="e">
        <f t="shared" si="96"/>
        <v>#DIV/0!</v>
      </c>
      <c r="DG101" s="68">
        <f t="shared" si="97"/>
        <v>0.45480516874807669</v>
      </c>
      <c r="DH101" s="68">
        <f t="shared" si="98"/>
        <v>1.3986079121535113</v>
      </c>
      <c r="DI101" s="68">
        <f t="shared" si="99"/>
        <v>1.5707963267948966</v>
      </c>
      <c r="DJ101" s="68" t="e">
        <f t="shared" si="100"/>
        <v>#DIV/0!</v>
      </c>
      <c r="DK101" s="68" t="e">
        <f t="shared" si="101"/>
        <v>#DIV/0!</v>
      </c>
      <c r="DL101" s="68" t="e">
        <f t="shared" si="102"/>
        <v>#DIV/0!</v>
      </c>
      <c r="DM101" s="68" t="e">
        <f t="shared" si="103"/>
        <v>#DIV/0!</v>
      </c>
      <c r="DN101" s="68" t="e">
        <f t="shared" si="104"/>
        <v>#DIV/0!</v>
      </c>
      <c r="DO101" s="68" t="e">
        <f t="shared" si="105"/>
        <v>#DIV/0!</v>
      </c>
      <c r="DP101" s="68" t="e">
        <f t="shared" si="106"/>
        <v>#DIV/0!</v>
      </c>
      <c r="DQ101" s="68" t="e">
        <f t="shared" si="107"/>
        <v>#DIV/0!</v>
      </c>
      <c r="DR101" s="68" t="e">
        <f t="shared" si="108"/>
        <v>#DIV/0!</v>
      </c>
      <c r="DS101" s="68" t="e">
        <f t="shared" si="109"/>
        <v>#DIV/0!</v>
      </c>
      <c r="DT101" s="68" t="e">
        <f t="shared" si="110"/>
        <v>#DIV/0!</v>
      </c>
      <c r="DU101" s="68" t="e">
        <f t="shared" si="111"/>
        <v>#DIV/0!</v>
      </c>
      <c r="DV101" s="68" t="e">
        <f t="shared" si="112"/>
        <v>#DIV/0!</v>
      </c>
      <c r="DW101" s="68" t="e">
        <f t="shared" si="113"/>
        <v>#DIV/0!</v>
      </c>
      <c r="DX101" s="68">
        <f t="shared" si="114"/>
        <v>26.05841667</v>
      </c>
      <c r="DY101" s="68">
        <f t="shared" si="115"/>
        <v>80.134330559999995</v>
      </c>
      <c r="DZ101" s="68" t="e">
        <f t="shared" si="116"/>
        <v>#DIV/0!</v>
      </c>
      <c r="EA101" s="68" t="e">
        <f t="shared" si="117"/>
        <v>#DIV/0!</v>
      </c>
      <c r="EB101" s="68" t="e">
        <f t="shared" si="118"/>
        <v>#DIV/0!</v>
      </c>
      <c r="EC101" s="68" t="e">
        <f t="shared" si="119"/>
        <v>#DIV/0!</v>
      </c>
      <c r="ED101" s="68" t="e">
        <f t="shared" si="120"/>
        <v>#DIV/0!</v>
      </c>
      <c r="EE101" s="68" t="e">
        <f t="shared" si="121"/>
        <v>#DIV/0!</v>
      </c>
      <c r="EF101" s="68" t="e">
        <f t="shared" si="122"/>
        <v>#DIV/0!</v>
      </c>
      <c r="EG101" s="68" t="e">
        <f t="shared" si="123"/>
        <v>#DIV/0!</v>
      </c>
      <c r="EH101" s="68" t="e">
        <f t="shared" si="124"/>
        <v>#DIV/0!</v>
      </c>
      <c r="EI101" s="68" t="e">
        <f t="shared" si="125"/>
        <v>#DIV/0!</v>
      </c>
      <c r="EJ101" s="68" t="e">
        <f t="shared" si="126"/>
        <v>#DIV/0!</v>
      </c>
      <c r="EK101" s="68" t="e">
        <f t="shared" si="127"/>
        <v>#DIV/0!</v>
      </c>
      <c r="EL101" s="68" t="e">
        <f t="shared" si="128"/>
        <v>#DIV/0!</v>
      </c>
      <c r="EM101" s="68" t="e">
        <f t="shared" si="129"/>
        <v>#DIV/0!</v>
      </c>
      <c r="EN101" s="68" t="e">
        <f t="shared" si="130"/>
        <v>#DIV/0!</v>
      </c>
      <c r="EO101" s="68" t="e">
        <f t="shared" si="131"/>
        <v>#DIV/0!</v>
      </c>
      <c r="EP101" s="68" t="e">
        <f t="shared" si="132"/>
        <v>#DIV/0!</v>
      </c>
      <c r="EQ101" s="68" t="e">
        <f t="shared" si="133"/>
        <v>#DIV/0!</v>
      </c>
      <c r="ER101" s="68" t="e">
        <f t="shared" si="134"/>
        <v>#DIV/0!</v>
      </c>
    </row>
    <row r="102" spans="82:148" x14ac:dyDescent="0.25">
      <c r="CD102" s="68" t="s">
        <v>609</v>
      </c>
      <c r="CE102" s="69">
        <f t="shared" si="72"/>
        <v>260330.3</v>
      </c>
      <c r="CF102" s="69">
        <f t="shared" si="73"/>
        <v>800803.59</v>
      </c>
      <c r="CG102" s="70">
        <f t="shared" si="137"/>
        <v>90</v>
      </c>
      <c r="CH102" s="69">
        <f t="shared" si="135"/>
        <v>260330.30001199999</v>
      </c>
      <c r="CI102" s="69">
        <f t="shared" si="136"/>
        <v>800803.59001599997</v>
      </c>
      <c r="CJ102" s="68">
        <f t="shared" si="74"/>
        <v>26.05841667</v>
      </c>
      <c r="CK102" s="68">
        <f t="shared" si="75"/>
        <v>80.134330559999995</v>
      </c>
      <c r="CL102" s="68">
        <f t="shared" si="76"/>
        <v>26.05841667</v>
      </c>
      <c r="CM102" s="68">
        <f t="shared" si="77"/>
        <v>80.134330559999995</v>
      </c>
      <c r="CN102" s="68">
        <f t="shared" si="78"/>
        <v>0</v>
      </c>
      <c r="CO102" s="68">
        <f t="shared" si="79"/>
        <v>0</v>
      </c>
      <c r="CP102" s="68">
        <f t="shared" si="80"/>
        <v>0.43928729614546391</v>
      </c>
      <c r="CQ102" s="68">
        <f t="shared" si="81"/>
        <v>1.0027157713556663</v>
      </c>
      <c r="CR102" s="68">
        <f t="shared" si="82"/>
        <v>0</v>
      </c>
      <c r="CS102" s="68">
        <f t="shared" si="83"/>
        <v>0.48899531699999998</v>
      </c>
      <c r="CT102" s="68">
        <f t="shared" si="84"/>
        <v>0.23911642</v>
      </c>
      <c r="CU102" s="68">
        <f t="shared" si="85"/>
        <v>0</v>
      </c>
      <c r="CV102" s="68">
        <f t="shared" si="86"/>
        <v>0</v>
      </c>
      <c r="CW102" s="68">
        <f t="shared" si="87"/>
        <v>0</v>
      </c>
      <c r="CX102" s="68">
        <f t="shared" si="88"/>
        <v>0</v>
      </c>
      <c r="CY102" s="68">
        <f t="shared" si="89"/>
        <v>0</v>
      </c>
      <c r="CZ102" s="68" t="e">
        <f t="shared" si="90"/>
        <v>#DIV/0!</v>
      </c>
      <c r="DA102" s="68" t="e">
        <f t="shared" si="91"/>
        <v>#DIV/0!</v>
      </c>
      <c r="DB102" s="68" t="e">
        <f t="shared" si="92"/>
        <v>#DIV/0!</v>
      </c>
      <c r="DC102" s="68" t="e">
        <f t="shared" si="93"/>
        <v>#DIV/0!</v>
      </c>
      <c r="DD102" s="68" t="e">
        <f t="shared" si="94"/>
        <v>#DIV/0!</v>
      </c>
      <c r="DE102" s="68" t="e">
        <f t="shared" si="95"/>
        <v>#DIV/0!</v>
      </c>
      <c r="DF102" s="68" t="e">
        <f t="shared" si="96"/>
        <v>#DIV/0!</v>
      </c>
      <c r="DG102" s="68">
        <f t="shared" si="97"/>
        <v>0.45480516874807669</v>
      </c>
      <c r="DH102" s="68">
        <f t="shared" si="98"/>
        <v>1.3986079121535113</v>
      </c>
      <c r="DI102" s="68">
        <f t="shared" si="99"/>
        <v>1.5707963267948966</v>
      </c>
      <c r="DJ102" s="68" t="e">
        <f t="shared" si="100"/>
        <v>#DIV/0!</v>
      </c>
      <c r="DK102" s="68" t="e">
        <f t="shared" si="101"/>
        <v>#DIV/0!</v>
      </c>
      <c r="DL102" s="68" t="e">
        <f t="shared" si="102"/>
        <v>#DIV/0!</v>
      </c>
      <c r="DM102" s="68" t="e">
        <f t="shared" si="103"/>
        <v>#DIV/0!</v>
      </c>
      <c r="DN102" s="68" t="e">
        <f t="shared" si="104"/>
        <v>#DIV/0!</v>
      </c>
      <c r="DO102" s="68" t="e">
        <f t="shared" si="105"/>
        <v>#DIV/0!</v>
      </c>
      <c r="DP102" s="68" t="e">
        <f t="shared" si="106"/>
        <v>#DIV/0!</v>
      </c>
      <c r="DQ102" s="68" t="e">
        <f t="shared" si="107"/>
        <v>#DIV/0!</v>
      </c>
      <c r="DR102" s="68" t="e">
        <f t="shared" si="108"/>
        <v>#DIV/0!</v>
      </c>
      <c r="DS102" s="68" t="e">
        <f t="shared" si="109"/>
        <v>#DIV/0!</v>
      </c>
      <c r="DT102" s="68" t="e">
        <f t="shared" si="110"/>
        <v>#DIV/0!</v>
      </c>
      <c r="DU102" s="68" t="e">
        <f t="shared" si="111"/>
        <v>#DIV/0!</v>
      </c>
      <c r="DV102" s="68" t="e">
        <f t="shared" si="112"/>
        <v>#DIV/0!</v>
      </c>
      <c r="DW102" s="68" t="e">
        <f t="shared" si="113"/>
        <v>#DIV/0!</v>
      </c>
      <c r="DX102" s="68">
        <f t="shared" si="114"/>
        <v>26.05841667</v>
      </c>
      <c r="DY102" s="68">
        <f t="shared" si="115"/>
        <v>80.134330559999995</v>
      </c>
      <c r="DZ102" s="68" t="e">
        <f t="shared" si="116"/>
        <v>#DIV/0!</v>
      </c>
      <c r="EA102" s="68" t="e">
        <f t="shared" si="117"/>
        <v>#DIV/0!</v>
      </c>
      <c r="EB102" s="68" t="e">
        <f t="shared" si="118"/>
        <v>#DIV/0!</v>
      </c>
      <c r="EC102" s="68" t="e">
        <f t="shared" si="119"/>
        <v>#DIV/0!</v>
      </c>
      <c r="ED102" s="68" t="e">
        <f t="shared" si="120"/>
        <v>#DIV/0!</v>
      </c>
      <c r="EE102" s="68" t="e">
        <f t="shared" si="121"/>
        <v>#DIV/0!</v>
      </c>
      <c r="EF102" s="68" t="e">
        <f t="shared" si="122"/>
        <v>#DIV/0!</v>
      </c>
      <c r="EG102" s="68" t="e">
        <f t="shared" si="123"/>
        <v>#DIV/0!</v>
      </c>
      <c r="EH102" s="68" t="e">
        <f t="shared" si="124"/>
        <v>#DIV/0!</v>
      </c>
      <c r="EI102" s="68" t="e">
        <f t="shared" si="125"/>
        <v>#DIV/0!</v>
      </c>
      <c r="EJ102" s="68" t="e">
        <f t="shared" si="126"/>
        <v>#DIV/0!</v>
      </c>
      <c r="EK102" s="68" t="e">
        <f t="shared" si="127"/>
        <v>#DIV/0!</v>
      </c>
      <c r="EL102" s="68" t="e">
        <f t="shared" si="128"/>
        <v>#DIV/0!</v>
      </c>
      <c r="EM102" s="68" t="e">
        <f t="shared" si="129"/>
        <v>#DIV/0!</v>
      </c>
      <c r="EN102" s="68" t="e">
        <f t="shared" si="130"/>
        <v>#DIV/0!</v>
      </c>
      <c r="EO102" s="68" t="e">
        <f t="shared" si="131"/>
        <v>#DIV/0!</v>
      </c>
      <c r="EP102" s="68" t="e">
        <f t="shared" si="132"/>
        <v>#DIV/0!</v>
      </c>
      <c r="EQ102" s="68" t="e">
        <f t="shared" si="133"/>
        <v>#DIV/0!</v>
      </c>
      <c r="ER102" s="68" t="e">
        <f t="shared" si="134"/>
        <v>#DIV/0!</v>
      </c>
    </row>
    <row r="103" spans="82:148" x14ac:dyDescent="0.25">
      <c r="CD103" s="68" t="s">
        <v>610</v>
      </c>
      <c r="CE103" s="69">
        <f t="shared" si="72"/>
        <v>260330.3</v>
      </c>
      <c r="CF103" s="69">
        <f t="shared" si="73"/>
        <v>800803.59</v>
      </c>
      <c r="CG103" s="70">
        <f t="shared" si="137"/>
        <v>90</v>
      </c>
      <c r="CH103" s="69">
        <f t="shared" si="135"/>
        <v>260330.30001199999</v>
      </c>
      <c r="CI103" s="69">
        <f t="shared" si="136"/>
        <v>800803.59001599997</v>
      </c>
      <c r="CJ103" s="68">
        <f t="shared" si="74"/>
        <v>26.05841667</v>
      </c>
      <c r="CK103" s="68">
        <f t="shared" si="75"/>
        <v>80.134330559999995</v>
      </c>
      <c r="CL103" s="68">
        <f t="shared" si="76"/>
        <v>26.05841667</v>
      </c>
      <c r="CM103" s="68">
        <f t="shared" si="77"/>
        <v>80.134330559999995</v>
      </c>
      <c r="CN103" s="68">
        <f t="shared" si="78"/>
        <v>0</v>
      </c>
      <c r="CO103" s="68">
        <f t="shared" si="79"/>
        <v>0</v>
      </c>
      <c r="CP103" s="68">
        <f t="shared" si="80"/>
        <v>0.43928729614546391</v>
      </c>
      <c r="CQ103" s="68">
        <f t="shared" si="81"/>
        <v>1.0027157713556663</v>
      </c>
      <c r="CR103" s="68">
        <f t="shared" si="82"/>
        <v>0</v>
      </c>
      <c r="CS103" s="68">
        <f t="shared" si="83"/>
        <v>0.48899531699999998</v>
      </c>
      <c r="CT103" s="68">
        <f t="shared" si="84"/>
        <v>0.23911642</v>
      </c>
      <c r="CU103" s="68">
        <f t="shared" si="85"/>
        <v>0</v>
      </c>
      <c r="CV103" s="68">
        <f t="shared" si="86"/>
        <v>0</v>
      </c>
      <c r="CW103" s="68">
        <f t="shared" si="87"/>
        <v>0</v>
      </c>
      <c r="CX103" s="68">
        <f t="shared" si="88"/>
        <v>0</v>
      </c>
      <c r="CY103" s="68">
        <f t="shared" si="89"/>
        <v>0</v>
      </c>
      <c r="CZ103" s="68" t="e">
        <f t="shared" si="90"/>
        <v>#DIV/0!</v>
      </c>
      <c r="DA103" s="68" t="e">
        <f t="shared" si="91"/>
        <v>#DIV/0!</v>
      </c>
      <c r="DB103" s="68" t="e">
        <f t="shared" si="92"/>
        <v>#DIV/0!</v>
      </c>
      <c r="DC103" s="68" t="e">
        <f t="shared" si="93"/>
        <v>#DIV/0!</v>
      </c>
      <c r="DD103" s="68" t="e">
        <f t="shared" si="94"/>
        <v>#DIV/0!</v>
      </c>
      <c r="DE103" s="68" t="e">
        <f t="shared" si="95"/>
        <v>#DIV/0!</v>
      </c>
      <c r="DF103" s="68" t="e">
        <f t="shared" si="96"/>
        <v>#DIV/0!</v>
      </c>
      <c r="DG103" s="68">
        <f t="shared" si="97"/>
        <v>0.45480516874807669</v>
      </c>
      <c r="DH103" s="68">
        <f t="shared" si="98"/>
        <v>1.3986079121535113</v>
      </c>
      <c r="DI103" s="68">
        <f t="shared" si="99"/>
        <v>1.5707963267948966</v>
      </c>
      <c r="DJ103" s="68" t="e">
        <f t="shared" si="100"/>
        <v>#DIV/0!</v>
      </c>
      <c r="DK103" s="68" t="e">
        <f t="shared" si="101"/>
        <v>#DIV/0!</v>
      </c>
      <c r="DL103" s="68" t="e">
        <f t="shared" si="102"/>
        <v>#DIV/0!</v>
      </c>
      <c r="DM103" s="68" t="e">
        <f t="shared" si="103"/>
        <v>#DIV/0!</v>
      </c>
      <c r="DN103" s="68" t="e">
        <f t="shared" si="104"/>
        <v>#DIV/0!</v>
      </c>
      <c r="DO103" s="68" t="e">
        <f t="shared" si="105"/>
        <v>#DIV/0!</v>
      </c>
      <c r="DP103" s="68" t="e">
        <f t="shared" si="106"/>
        <v>#DIV/0!</v>
      </c>
      <c r="DQ103" s="68" t="e">
        <f t="shared" si="107"/>
        <v>#DIV/0!</v>
      </c>
      <c r="DR103" s="68" t="e">
        <f t="shared" si="108"/>
        <v>#DIV/0!</v>
      </c>
      <c r="DS103" s="68" t="e">
        <f t="shared" si="109"/>
        <v>#DIV/0!</v>
      </c>
      <c r="DT103" s="68" t="e">
        <f t="shared" si="110"/>
        <v>#DIV/0!</v>
      </c>
      <c r="DU103" s="68" t="e">
        <f t="shared" si="111"/>
        <v>#DIV/0!</v>
      </c>
      <c r="DV103" s="68" t="e">
        <f t="shared" si="112"/>
        <v>#DIV/0!</v>
      </c>
      <c r="DW103" s="68" t="e">
        <f t="shared" si="113"/>
        <v>#DIV/0!</v>
      </c>
      <c r="DX103" s="68">
        <f t="shared" si="114"/>
        <v>26.05841667</v>
      </c>
      <c r="DY103" s="68">
        <f t="shared" si="115"/>
        <v>80.134330559999995</v>
      </c>
      <c r="DZ103" s="68" t="e">
        <f t="shared" si="116"/>
        <v>#DIV/0!</v>
      </c>
      <c r="EA103" s="68" t="e">
        <f t="shared" si="117"/>
        <v>#DIV/0!</v>
      </c>
      <c r="EB103" s="68" t="e">
        <f t="shared" si="118"/>
        <v>#DIV/0!</v>
      </c>
      <c r="EC103" s="68" t="e">
        <f t="shared" si="119"/>
        <v>#DIV/0!</v>
      </c>
      <c r="ED103" s="68" t="e">
        <f t="shared" si="120"/>
        <v>#DIV/0!</v>
      </c>
      <c r="EE103" s="68" t="e">
        <f t="shared" si="121"/>
        <v>#DIV/0!</v>
      </c>
      <c r="EF103" s="68" t="e">
        <f t="shared" si="122"/>
        <v>#DIV/0!</v>
      </c>
      <c r="EG103" s="68" t="e">
        <f t="shared" si="123"/>
        <v>#DIV/0!</v>
      </c>
      <c r="EH103" s="68" t="e">
        <f t="shared" si="124"/>
        <v>#DIV/0!</v>
      </c>
      <c r="EI103" s="68" t="e">
        <f t="shared" si="125"/>
        <v>#DIV/0!</v>
      </c>
      <c r="EJ103" s="68" t="e">
        <f t="shared" si="126"/>
        <v>#DIV/0!</v>
      </c>
      <c r="EK103" s="68" t="e">
        <f t="shared" si="127"/>
        <v>#DIV/0!</v>
      </c>
      <c r="EL103" s="68" t="e">
        <f t="shared" si="128"/>
        <v>#DIV/0!</v>
      </c>
      <c r="EM103" s="68" t="e">
        <f t="shared" si="129"/>
        <v>#DIV/0!</v>
      </c>
      <c r="EN103" s="68" t="e">
        <f t="shared" si="130"/>
        <v>#DIV/0!</v>
      </c>
      <c r="EO103" s="68" t="e">
        <f t="shared" si="131"/>
        <v>#DIV/0!</v>
      </c>
      <c r="EP103" s="68" t="e">
        <f t="shared" si="132"/>
        <v>#DIV/0!</v>
      </c>
      <c r="EQ103" s="68" t="e">
        <f t="shared" si="133"/>
        <v>#DIV/0!</v>
      </c>
      <c r="ER103" s="68" t="e">
        <f t="shared" si="134"/>
        <v>#DIV/0!</v>
      </c>
    </row>
    <row r="104" spans="82:148" x14ac:dyDescent="0.25">
      <c r="CD104" s="68" t="s">
        <v>611</v>
      </c>
      <c r="CE104" s="69">
        <f t="shared" si="72"/>
        <v>260330.3</v>
      </c>
      <c r="CF104" s="69">
        <f t="shared" si="73"/>
        <v>800803.59</v>
      </c>
      <c r="CG104" s="70">
        <f t="shared" si="137"/>
        <v>90</v>
      </c>
      <c r="CH104" s="69">
        <f t="shared" si="135"/>
        <v>260330.30001199999</v>
      </c>
      <c r="CI104" s="69">
        <f t="shared" si="136"/>
        <v>800803.59001599997</v>
      </c>
      <c r="CJ104" s="68">
        <f t="shared" si="74"/>
        <v>26.05841667</v>
      </c>
      <c r="CK104" s="68">
        <f t="shared" si="75"/>
        <v>80.134330559999995</v>
      </c>
      <c r="CL104" s="68">
        <f t="shared" si="76"/>
        <v>26.05841667</v>
      </c>
      <c r="CM104" s="68">
        <f t="shared" si="77"/>
        <v>80.134330559999995</v>
      </c>
      <c r="CN104" s="68">
        <f t="shared" si="78"/>
        <v>0</v>
      </c>
      <c r="CO104" s="68">
        <f t="shared" si="79"/>
        <v>0</v>
      </c>
      <c r="CP104" s="68">
        <f t="shared" si="80"/>
        <v>0.43928729614546391</v>
      </c>
      <c r="CQ104" s="68">
        <f t="shared" si="81"/>
        <v>1.0027157713556663</v>
      </c>
      <c r="CR104" s="68">
        <f t="shared" si="82"/>
        <v>0</v>
      </c>
      <c r="CS104" s="68">
        <f t="shared" si="83"/>
        <v>0.48899531699999998</v>
      </c>
      <c r="CT104" s="68">
        <f t="shared" si="84"/>
        <v>0.23911642</v>
      </c>
      <c r="CU104" s="68">
        <f t="shared" si="85"/>
        <v>0</v>
      </c>
      <c r="CV104" s="68">
        <f t="shared" si="86"/>
        <v>0</v>
      </c>
      <c r="CW104" s="68">
        <f t="shared" si="87"/>
        <v>0</v>
      </c>
      <c r="CX104" s="68">
        <f t="shared" si="88"/>
        <v>0</v>
      </c>
      <c r="CY104" s="68">
        <f t="shared" si="89"/>
        <v>0</v>
      </c>
      <c r="CZ104" s="68" t="e">
        <f t="shared" si="90"/>
        <v>#DIV/0!</v>
      </c>
      <c r="DA104" s="68" t="e">
        <f t="shared" si="91"/>
        <v>#DIV/0!</v>
      </c>
      <c r="DB104" s="68" t="e">
        <f t="shared" si="92"/>
        <v>#DIV/0!</v>
      </c>
      <c r="DC104" s="68" t="e">
        <f t="shared" si="93"/>
        <v>#DIV/0!</v>
      </c>
      <c r="DD104" s="68" t="e">
        <f t="shared" si="94"/>
        <v>#DIV/0!</v>
      </c>
      <c r="DE104" s="68" t="e">
        <f t="shared" si="95"/>
        <v>#DIV/0!</v>
      </c>
      <c r="DF104" s="68" t="e">
        <f t="shared" si="96"/>
        <v>#DIV/0!</v>
      </c>
      <c r="DG104" s="68">
        <f t="shared" si="97"/>
        <v>0.45480516874807669</v>
      </c>
      <c r="DH104" s="68">
        <f t="shared" si="98"/>
        <v>1.3986079121535113</v>
      </c>
      <c r="DI104" s="68">
        <f t="shared" si="99"/>
        <v>1.5707963267948966</v>
      </c>
      <c r="DJ104" s="68" t="e">
        <f t="shared" si="100"/>
        <v>#DIV/0!</v>
      </c>
      <c r="DK104" s="68" t="e">
        <f t="shared" si="101"/>
        <v>#DIV/0!</v>
      </c>
      <c r="DL104" s="68" t="e">
        <f t="shared" si="102"/>
        <v>#DIV/0!</v>
      </c>
      <c r="DM104" s="68" t="e">
        <f t="shared" si="103"/>
        <v>#DIV/0!</v>
      </c>
      <c r="DN104" s="68" t="e">
        <f t="shared" si="104"/>
        <v>#DIV/0!</v>
      </c>
      <c r="DO104" s="68" t="e">
        <f t="shared" si="105"/>
        <v>#DIV/0!</v>
      </c>
      <c r="DP104" s="68" t="e">
        <f t="shared" si="106"/>
        <v>#DIV/0!</v>
      </c>
      <c r="DQ104" s="68" t="e">
        <f t="shared" si="107"/>
        <v>#DIV/0!</v>
      </c>
      <c r="DR104" s="68" t="e">
        <f t="shared" si="108"/>
        <v>#DIV/0!</v>
      </c>
      <c r="DS104" s="68" t="e">
        <f t="shared" si="109"/>
        <v>#DIV/0!</v>
      </c>
      <c r="DT104" s="68" t="e">
        <f t="shared" si="110"/>
        <v>#DIV/0!</v>
      </c>
      <c r="DU104" s="68" t="e">
        <f t="shared" si="111"/>
        <v>#DIV/0!</v>
      </c>
      <c r="DV104" s="68" t="e">
        <f t="shared" si="112"/>
        <v>#DIV/0!</v>
      </c>
      <c r="DW104" s="68" t="e">
        <f t="shared" si="113"/>
        <v>#DIV/0!</v>
      </c>
      <c r="DX104" s="68">
        <f t="shared" si="114"/>
        <v>26.05841667</v>
      </c>
      <c r="DY104" s="68">
        <f t="shared" si="115"/>
        <v>80.134330559999995</v>
      </c>
      <c r="DZ104" s="68" t="e">
        <f t="shared" si="116"/>
        <v>#DIV/0!</v>
      </c>
      <c r="EA104" s="68" t="e">
        <f t="shared" si="117"/>
        <v>#DIV/0!</v>
      </c>
      <c r="EB104" s="68" t="e">
        <f t="shared" si="118"/>
        <v>#DIV/0!</v>
      </c>
      <c r="EC104" s="68" t="e">
        <f t="shared" si="119"/>
        <v>#DIV/0!</v>
      </c>
      <c r="ED104" s="68" t="e">
        <f t="shared" si="120"/>
        <v>#DIV/0!</v>
      </c>
      <c r="EE104" s="68" t="e">
        <f t="shared" si="121"/>
        <v>#DIV/0!</v>
      </c>
      <c r="EF104" s="68" t="e">
        <f t="shared" si="122"/>
        <v>#DIV/0!</v>
      </c>
      <c r="EG104" s="68" t="e">
        <f t="shared" si="123"/>
        <v>#DIV/0!</v>
      </c>
      <c r="EH104" s="68" t="e">
        <f t="shared" si="124"/>
        <v>#DIV/0!</v>
      </c>
      <c r="EI104" s="68" t="e">
        <f t="shared" si="125"/>
        <v>#DIV/0!</v>
      </c>
      <c r="EJ104" s="68" t="e">
        <f t="shared" si="126"/>
        <v>#DIV/0!</v>
      </c>
      <c r="EK104" s="68" t="e">
        <f t="shared" si="127"/>
        <v>#DIV/0!</v>
      </c>
      <c r="EL104" s="68" t="e">
        <f t="shared" si="128"/>
        <v>#DIV/0!</v>
      </c>
      <c r="EM104" s="68" t="e">
        <f t="shared" si="129"/>
        <v>#DIV/0!</v>
      </c>
      <c r="EN104" s="68" t="e">
        <f t="shared" si="130"/>
        <v>#DIV/0!</v>
      </c>
      <c r="EO104" s="68" t="e">
        <f t="shared" si="131"/>
        <v>#DIV/0!</v>
      </c>
      <c r="EP104" s="68" t="e">
        <f t="shared" si="132"/>
        <v>#DIV/0!</v>
      </c>
      <c r="EQ104" s="68" t="e">
        <f t="shared" si="133"/>
        <v>#DIV/0!</v>
      </c>
      <c r="ER104" s="68" t="e">
        <f t="shared" si="134"/>
        <v>#DIV/0!</v>
      </c>
    </row>
    <row r="105" spans="82:148" x14ac:dyDescent="0.25">
      <c r="CD105" s="68" t="s">
        <v>612</v>
      </c>
      <c r="CE105" s="69">
        <f t="shared" si="72"/>
        <v>260330.3</v>
      </c>
      <c r="CF105" s="69">
        <f t="shared" si="73"/>
        <v>800803.59</v>
      </c>
      <c r="CG105" s="70">
        <f t="shared" si="137"/>
        <v>90</v>
      </c>
      <c r="CH105" s="69">
        <f t="shared" si="135"/>
        <v>260330.30001199999</v>
      </c>
      <c r="CI105" s="69">
        <f t="shared" si="136"/>
        <v>800803.59001599997</v>
      </c>
      <c r="CJ105" s="68">
        <f t="shared" si="74"/>
        <v>26.05841667</v>
      </c>
      <c r="CK105" s="68">
        <f t="shared" si="75"/>
        <v>80.134330559999995</v>
      </c>
      <c r="CL105" s="68">
        <f t="shared" si="76"/>
        <v>26.05841667</v>
      </c>
      <c r="CM105" s="68">
        <f t="shared" si="77"/>
        <v>80.134330559999995</v>
      </c>
      <c r="CN105" s="68">
        <f t="shared" si="78"/>
        <v>0</v>
      </c>
      <c r="CO105" s="68">
        <f t="shared" si="79"/>
        <v>0</v>
      </c>
      <c r="CP105" s="68">
        <f t="shared" si="80"/>
        <v>0.43928729614546391</v>
      </c>
      <c r="CQ105" s="68">
        <f t="shared" si="81"/>
        <v>1.0027157713556663</v>
      </c>
      <c r="CR105" s="68">
        <f t="shared" si="82"/>
        <v>0</v>
      </c>
      <c r="CS105" s="68">
        <f t="shared" si="83"/>
        <v>0.48899531699999998</v>
      </c>
      <c r="CT105" s="68">
        <f t="shared" si="84"/>
        <v>0.23911642</v>
      </c>
      <c r="CU105" s="68">
        <f t="shared" si="85"/>
        <v>0</v>
      </c>
      <c r="CV105" s="68">
        <f t="shared" si="86"/>
        <v>0</v>
      </c>
      <c r="CW105" s="68">
        <f t="shared" si="87"/>
        <v>0</v>
      </c>
      <c r="CX105" s="68">
        <f t="shared" si="88"/>
        <v>0</v>
      </c>
      <c r="CY105" s="68">
        <f t="shared" si="89"/>
        <v>0</v>
      </c>
      <c r="CZ105" s="68" t="e">
        <f t="shared" si="90"/>
        <v>#DIV/0!</v>
      </c>
      <c r="DA105" s="68" t="e">
        <f t="shared" si="91"/>
        <v>#DIV/0!</v>
      </c>
      <c r="DB105" s="68" t="e">
        <f t="shared" si="92"/>
        <v>#DIV/0!</v>
      </c>
      <c r="DC105" s="68" t="e">
        <f t="shared" si="93"/>
        <v>#DIV/0!</v>
      </c>
      <c r="DD105" s="68" t="e">
        <f t="shared" si="94"/>
        <v>#DIV/0!</v>
      </c>
      <c r="DE105" s="68" t="e">
        <f t="shared" si="95"/>
        <v>#DIV/0!</v>
      </c>
      <c r="DF105" s="68" t="e">
        <f t="shared" si="96"/>
        <v>#DIV/0!</v>
      </c>
      <c r="DG105" s="68">
        <f t="shared" si="97"/>
        <v>0.45480516874807669</v>
      </c>
      <c r="DH105" s="68">
        <f t="shared" si="98"/>
        <v>1.3986079121535113</v>
      </c>
      <c r="DI105" s="68">
        <f t="shared" si="99"/>
        <v>1.5707963267948966</v>
      </c>
      <c r="DJ105" s="68" t="e">
        <f t="shared" si="100"/>
        <v>#DIV/0!</v>
      </c>
      <c r="DK105" s="68" t="e">
        <f t="shared" si="101"/>
        <v>#DIV/0!</v>
      </c>
      <c r="DL105" s="68" t="e">
        <f t="shared" si="102"/>
        <v>#DIV/0!</v>
      </c>
      <c r="DM105" s="68" t="e">
        <f t="shared" si="103"/>
        <v>#DIV/0!</v>
      </c>
      <c r="DN105" s="68" t="e">
        <f t="shared" si="104"/>
        <v>#DIV/0!</v>
      </c>
      <c r="DO105" s="68" t="e">
        <f t="shared" si="105"/>
        <v>#DIV/0!</v>
      </c>
      <c r="DP105" s="68" t="e">
        <f t="shared" si="106"/>
        <v>#DIV/0!</v>
      </c>
      <c r="DQ105" s="68" t="e">
        <f t="shared" si="107"/>
        <v>#DIV/0!</v>
      </c>
      <c r="DR105" s="68" t="e">
        <f t="shared" si="108"/>
        <v>#DIV/0!</v>
      </c>
      <c r="DS105" s="68" t="e">
        <f t="shared" si="109"/>
        <v>#DIV/0!</v>
      </c>
      <c r="DT105" s="68" t="e">
        <f t="shared" si="110"/>
        <v>#DIV/0!</v>
      </c>
      <c r="DU105" s="68" t="e">
        <f t="shared" si="111"/>
        <v>#DIV/0!</v>
      </c>
      <c r="DV105" s="68" t="e">
        <f t="shared" si="112"/>
        <v>#DIV/0!</v>
      </c>
      <c r="DW105" s="68" t="e">
        <f t="shared" si="113"/>
        <v>#DIV/0!</v>
      </c>
      <c r="DX105" s="68">
        <f t="shared" si="114"/>
        <v>26.05841667</v>
      </c>
      <c r="DY105" s="68">
        <f t="shared" si="115"/>
        <v>80.134330559999995</v>
      </c>
      <c r="DZ105" s="68" t="e">
        <f t="shared" si="116"/>
        <v>#DIV/0!</v>
      </c>
      <c r="EA105" s="68" t="e">
        <f t="shared" si="117"/>
        <v>#DIV/0!</v>
      </c>
      <c r="EB105" s="68" t="e">
        <f t="shared" si="118"/>
        <v>#DIV/0!</v>
      </c>
      <c r="EC105" s="68" t="e">
        <f t="shared" si="119"/>
        <v>#DIV/0!</v>
      </c>
      <c r="ED105" s="68" t="e">
        <f t="shared" si="120"/>
        <v>#DIV/0!</v>
      </c>
      <c r="EE105" s="68" t="e">
        <f t="shared" si="121"/>
        <v>#DIV/0!</v>
      </c>
      <c r="EF105" s="68" t="e">
        <f t="shared" si="122"/>
        <v>#DIV/0!</v>
      </c>
      <c r="EG105" s="68" t="e">
        <f t="shared" si="123"/>
        <v>#DIV/0!</v>
      </c>
      <c r="EH105" s="68" t="e">
        <f t="shared" si="124"/>
        <v>#DIV/0!</v>
      </c>
      <c r="EI105" s="68" t="e">
        <f t="shared" si="125"/>
        <v>#DIV/0!</v>
      </c>
      <c r="EJ105" s="68" t="e">
        <f t="shared" si="126"/>
        <v>#DIV/0!</v>
      </c>
      <c r="EK105" s="68" t="e">
        <f t="shared" si="127"/>
        <v>#DIV/0!</v>
      </c>
      <c r="EL105" s="68" t="e">
        <f t="shared" si="128"/>
        <v>#DIV/0!</v>
      </c>
      <c r="EM105" s="68" t="e">
        <f t="shared" si="129"/>
        <v>#DIV/0!</v>
      </c>
      <c r="EN105" s="68" t="e">
        <f t="shared" si="130"/>
        <v>#DIV/0!</v>
      </c>
      <c r="EO105" s="68" t="e">
        <f t="shared" si="131"/>
        <v>#DIV/0!</v>
      </c>
      <c r="EP105" s="68" t="e">
        <f t="shared" si="132"/>
        <v>#DIV/0!</v>
      </c>
      <c r="EQ105" s="68" t="e">
        <f t="shared" si="133"/>
        <v>#DIV/0!</v>
      </c>
      <c r="ER105" s="68" t="e">
        <f t="shared" si="134"/>
        <v>#DIV/0!</v>
      </c>
    </row>
    <row r="106" spans="82:148" x14ac:dyDescent="0.25">
      <c r="CD106" s="68" t="s">
        <v>613</v>
      </c>
      <c r="CE106" s="69">
        <f t="shared" si="72"/>
        <v>260330.3</v>
      </c>
      <c r="CF106" s="69">
        <f t="shared" si="73"/>
        <v>800803.59</v>
      </c>
      <c r="CG106" s="70">
        <f t="shared" si="137"/>
        <v>90</v>
      </c>
      <c r="CH106" s="69">
        <f t="shared" si="135"/>
        <v>260330.30001199999</v>
      </c>
      <c r="CI106" s="69">
        <f t="shared" si="136"/>
        <v>800803.59001599997</v>
      </c>
      <c r="CJ106" s="68">
        <f t="shared" si="74"/>
        <v>26.05841667</v>
      </c>
      <c r="CK106" s="68">
        <f t="shared" si="75"/>
        <v>80.134330559999995</v>
      </c>
      <c r="CL106" s="68">
        <f t="shared" si="76"/>
        <v>26.05841667</v>
      </c>
      <c r="CM106" s="68">
        <f t="shared" si="77"/>
        <v>80.134330559999995</v>
      </c>
      <c r="CN106" s="68">
        <f t="shared" si="78"/>
        <v>0</v>
      </c>
      <c r="CO106" s="68">
        <f t="shared" si="79"/>
        <v>0</v>
      </c>
      <c r="CP106" s="68">
        <f t="shared" si="80"/>
        <v>0.43928729614546391</v>
      </c>
      <c r="CQ106" s="68">
        <f t="shared" si="81"/>
        <v>1.0027157713556663</v>
      </c>
      <c r="CR106" s="68">
        <f t="shared" si="82"/>
        <v>0</v>
      </c>
      <c r="CS106" s="68">
        <f t="shared" si="83"/>
        <v>0.48899531699999998</v>
      </c>
      <c r="CT106" s="68">
        <f t="shared" si="84"/>
        <v>0.23911642</v>
      </c>
      <c r="CU106" s="68">
        <f t="shared" si="85"/>
        <v>0</v>
      </c>
      <c r="CV106" s="68">
        <f t="shared" si="86"/>
        <v>0</v>
      </c>
      <c r="CW106" s="68">
        <f t="shared" si="87"/>
        <v>0</v>
      </c>
      <c r="CX106" s="68">
        <f t="shared" si="88"/>
        <v>0</v>
      </c>
      <c r="CY106" s="68">
        <f t="shared" si="89"/>
        <v>0</v>
      </c>
      <c r="CZ106" s="68" t="e">
        <f t="shared" si="90"/>
        <v>#DIV/0!</v>
      </c>
      <c r="DA106" s="68" t="e">
        <f t="shared" si="91"/>
        <v>#DIV/0!</v>
      </c>
      <c r="DB106" s="68" t="e">
        <f t="shared" si="92"/>
        <v>#DIV/0!</v>
      </c>
      <c r="DC106" s="68" t="e">
        <f t="shared" si="93"/>
        <v>#DIV/0!</v>
      </c>
      <c r="DD106" s="68" t="e">
        <f t="shared" si="94"/>
        <v>#DIV/0!</v>
      </c>
      <c r="DE106" s="68" t="e">
        <f t="shared" si="95"/>
        <v>#DIV/0!</v>
      </c>
      <c r="DF106" s="68" t="e">
        <f t="shared" si="96"/>
        <v>#DIV/0!</v>
      </c>
      <c r="DG106" s="68">
        <f t="shared" si="97"/>
        <v>0.45480516874807669</v>
      </c>
      <c r="DH106" s="68">
        <f t="shared" si="98"/>
        <v>1.3986079121535113</v>
      </c>
      <c r="DI106" s="68">
        <f t="shared" si="99"/>
        <v>1.5707963267948966</v>
      </c>
      <c r="DJ106" s="68" t="e">
        <f t="shared" si="100"/>
        <v>#DIV/0!</v>
      </c>
      <c r="DK106" s="68" t="e">
        <f t="shared" si="101"/>
        <v>#DIV/0!</v>
      </c>
      <c r="DL106" s="68" t="e">
        <f t="shared" si="102"/>
        <v>#DIV/0!</v>
      </c>
      <c r="DM106" s="68" t="e">
        <f t="shared" si="103"/>
        <v>#DIV/0!</v>
      </c>
      <c r="DN106" s="68" t="e">
        <f t="shared" si="104"/>
        <v>#DIV/0!</v>
      </c>
      <c r="DO106" s="68" t="e">
        <f t="shared" si="105"/>
        <v>#DIV/0!</v>
      </c>
      <c r="DP106" s="68" t="e">
        <f t="shared" si="106"/>
        <v>#DIV/0!</v>
      </c>
      <c r="DQ106" s="68" t="e">
        <f t="shared" si="107"/>
        <v>#DIV/0!</v>
      </c>
      <c r="DR106" s="68" t="e">
        <f t="shared" si="108"/>
        <v>#DIV/0!</v>
      </c>
      <c r="DS106" s="68" t="e">
        <f t="shared" si="109"/>
        <v>#DIV/0!</v>
      </c>
      <c r="DT106" s="68" t="e">
        <f t="shared" si="110"/>
        <v>#DIV/0!</v>
      </c>
      <c r="DU106" s="68" t="e">
        <f t="shared" si="111"/>
        <v>#DIV/0!</v>
      </c>
      <c r="DV106" s="68" t="e">
        <f t="shared" si="112"/>
        <v>#DIV/0!</v>
      </c>
      <c r="DW106" s="68" t="e">
        <f t="shared" si="113"/>
        <v>#DIV/0!</v>
      </c>
      <c r="DX106" s="68">
        <f t="shared" si="114"/>
        <v>26.05841667</v>
      </c>
      <c r="DY106" s="68">
        <f t="shared" si="115"/>
        <v>80.134330559999995</v>
      </c>
      <c r="DZ106" s="68" t="e">
        <f t="shared" si="116"/>
        <v>#DIV/0!</v>
      </c>
      <c r="EA106" s="68" t="e">
        <f t="shared" si="117"/>
        <v>#DIV/0!</v>
      </c>
      <c r="EB106" s="68" t="e">
        <f t="shared" si="118"/>
        <v>#DIV/0!</v>
      </c>
      <c r="EC106" s="68" t="e">
        <f t="shared" si="119"/>
        <v>#DIV/0!</v>
      </c>
      <c r="ED106" s="68" t="e">
        <f t="shared" si="120"/>
        <v>#DIV/0!</v>
      </c>
      <c r="EE106" s="68" t="e">
        <f t="shared" si="121"/>
        <v>#DIV/0!</v>
      </c>
      <c r="EF106" s="68" t="e">
        <f t="shared" si="122"/>
        <v>#DIV/0!</v>
      </c>
      <c r="EG106" s="68" t="e">
        <f t="shared" si="123"/>
        <v>#DIV/0!</v>
      </c>
      <c r="EH106" s="68" t="e">
        <f t="shared" si="124"/>
        <v>#DIV/0!</v>
      </c>
      <c r="EI106" s="68" t="e">
        <f t="shared" si="125"/>
        <v>#DIV/0!</v>
      </c>
      <c r="EJ106" s="68" t="e">
        <f t="shared" si="126"/>
        <v>#DIV/0!</v>
      </c>
      <c r="EK106" s="68" t="e">
        <f t="shared" si="127"/>
        <v>#DIV/0!</v>
      </c>
      <c r="EL106" s="68" t="e">
        <f t="shared" si="128"/>
        <v>#DIV/0!</v>
      </c>
      <c r="EM106" s="68" t="e">
        <f t="shared" si="129"/>
        <v>#DIV/0!</v>
      </c>
      <c r="EN106" s="68" t="e">
        <f t="shared" si="130"/>
        <v>#DIV/0!</v>
      </c>
      <c r="EO106" s="68" t="e">
        <f t="shared" si="131"/>
        <v>#DIV/0!</v>
      </c>
      <c r="EP106" s="68" t="e">
        <f t="shared" si="132"/>
        <v>#DIV/0!</v>
      </c>
      <c r="EQ106" s="68" t="e">
        <f t="shared" si="133"/>
        <v>#DIV/0!</v>
      </c>
      <c r="ER106" s="68" t="e">
        <f t="shared" si="134"/>
        <v>#DIV/0!</v>
      </c>
    </row>
    <row r="107" spans="82:148" x14ac:dyDescent="0.25">
      <c r="CD107" s="68" t="s">
        <v>630</v>
      </c>
      <c r="CE107" s="69">
        <f t="shared" si="72"/>
        <v>260330.3</v>
      </c>
      <c r="CF107" s="69">
        <f t="shared" si="73"/>
        <v>800803.59</v>
      </c>
      <c r="CG107" s="70">
        <f t="shared" ref="CG107:CG138" si="138">$F$3</f>
        <v>270</v>
      </c>
      <c r="CH107" s="69">
        <f>IF(AND(G11="",H11="",I11=""),(CX4),G11)</f>
        <v>260328.83679630503</v>
      </c>
      <c r="CI107" s="69">
        <f>IF(AND(G11="",H11="",I11=""),(CY4),H11)</f>
        <v>800804.60228546301</v>
      </c>
      <c r="CJ107" s="68">
        <f>(ROUND(((((((CE107)-((TRUNC(CE107/100))*100))/60)+(TRUNC(CE107/100))-((TRUNC(CE107/10000))*100))/60)+((TRUNC(CE107/10000)))),8))</f>
        <v>26.05841667</v>
      </c>
      <c r="CK107" s="68">
        <f>(ROUND(((((((CF107)-((TRUNC(CF107/100))*100))/60)+(TRUNC(CF107/100))-((TRUNC(CF107/10000))*100))/60)+((TRUNC(CF107/10000)))),8))</f>
        <v>80.134330559999995</v>
      </c>
      <c r="CL107" s="68">
        <f>(ROUND(((((((CH107)-((TRUNC(CH107/100))*100))/60)+(TRUNC(CH107/100))-((TRUNC(CH107/10000))*100))/60)+((TRUNC(CH107/10000)))),8))</f>
        <v>26.05801022</v>
      </c>
      <c r="CM107" s="68">
        <f>(ROUND(((((((CI107)-((TRUNC(CI107/100))*100))/60)+(TRUNC(CI107/100))-((TRUNC(CI107/10000))*100))/60)+((TRUNC(CI107/10000)))),8))</f>
        <v>80.134611750000005</v>
      </c>
      <c r="CN107" s="68">
        <f>(CJ107-CL107)</f>
        <v>4.0644999999983611E-4</v>
      </c>
      <c r="CO107" s="68">
        <f>(CK107-CM107)</f>
        <v>-2.8119000000970118E-4</v>
      </c>
      <c r="CP107" s="68">
        <f>SIN((CL107+(CN107/2))*(PI()/180))</f>
        <v>0.43928410975627102</v>
      </c>
      <c r="CQ107" s="68">
        <f>(SQRT((((COS((CL107+(CN107/2))*(PI()/180)))*(COS((CL107+(CN107/2))*(PI()/180))))/148.38)+1))</f>
        <v>1.0027157807635658</v>
      </c>
      <c r="CR107" s="68">
        <f>(COS((CL107+(CN107/2))*(PI()/180)))*CO107</f>
        <v>-2.5260652762357726E-4</v>
      </c>
      <c r="CS107" s="68">
        <f>ROUND((CP107/(COS((CL107+(CN107/2))*(PI()/180)))),9)</f>
        <v>0.48899092199999999</v>
      </c>
      <c r="CT107" s="68">
        <f t="shared" si="84"/>
        <v>0.23911212200000001</v>
      </c>
      <c r="CU107" s="68">
        <f>ROUND((CR107*CR107),9)</f>
        <v>6.4000000000000004E-8</v>
      </c>
      <c r="CV107" s="68">
        <f>(((((((CT107*3+2)*-1)*CU107)/78787)+1)/(CQ107*CQ107*CQ107))*(CN107*-1))</f>
        <v>-4.0315641818963039E-4</v>
      </c>
      <c r="CW107" s="68">
        <f>((((((CN107*CN107)+(CU107*(-1*CT107)))/78787)+1)/CQ107)*CR107)</f>
        <v>-2.519223617201861E-4</v>
      </c>
      <c r="CX107" s="68">
        <f>ROUND((((CR107*(((CU107+CU107+(3*CN107*CN107))/78787)+1))*CS107)/2),9)</f>
        <v>-6.1760999999999994E-5</v>
      </c>
      <c r="CY107" s="68">
        <f>(ROUND((SQRT((CW107*CW107)+(CV107*CV107))),9))*111693.756178</f>
        <v>53.098653218240308</v>
      </c>
      <c r="CZ107" s="68">
        <f>IF((CE107=CH107),(90*(CW107/(ABS(CW107)))),(IF((CE107&gt;CH107),(((ATAN(CW107/CV107))*(180/PI()))-180),((ATAN(CW107/CV107))*(180/PI())))))</f>
        <v>-147.99976778454464</v>
      </c>
      <c r="DA107" s="68">
        <f>ROUND((IF((CX107&gt;CZ107),(CZ107+360-CX107),(CZ107-CX107))),9)</f>
        <v>212.00029397599999</v>
      </c>
      <c r="DB107" s="68">
        <f>ROUND((IF(((CZ107+180+CX107)&lt;0),(CZ107+180+CX107+360),(CZ107+180+CX107))),9)</f>
        <v>32.000170453999999</v>
      </c>
      <c r="DC107" s="68">
        <f>ROUND((DA107+360),9)</f>
        <v>572.00029397599997</v>
      </c>
      <c r="DD107" s="68">
        <f>IF((AND(((ABS(CG107+360-DC107))&gt;180),((ABS(CG107+360-DC107))&lt;&gt;180))),(COS((ABS(((ABS(CG107+360-DC107))*-1)+360))*(PI()/180))),(COS((ABS(CG107+360-DC107))*(PI()/180))))</f>
        <v>0.52992361543305866</v>
      </c>
      <c r="DE107" s="68">
        <f>ROUND(((CY107/1852)*DD107),7)</f>
        <v>1.5193399999999999E-2</v>
      </c>
      <c r="DF107" s="68">
        <f t="shared" si="96"/>
        <v>92.316999999999993</v>
      </c>
      <c r="DG107" s="68">
        <f>(CJ107*(PI()/180))</f>
        <v>0.45480516874807669</v>
      </c>
      <c r="DH107" s="68">
        <f>(CK107*(PI()/180))</f>
        <v>1.3986079121535113</v>
      </c>
      <c r="DI107" s="68">
        <f>(CG107*(PI()/180))</f>
        <v>4.7123889803846897</v>
      </c>
      <c r="DJ107" s="68">
        <f>(DA107+DI107)</f>
        <v>216.7126829563847</v>
      </c>
      <c r="DK107" s="68">
        <f>((DE107*1852)/6399598.4)</f>
        <v>4.3968660283432781E-6</v>
      </c>
      <c r="DL107" s="68">
        <f>((1+(((COS((((COS(DI107))*DK107)/2)+DG107))*(COS((((COS(DI107))*DK107)/2)+DG107)))/148.38)))</f>
        <v>1.0054389181253889</v>
      </c>
      <c r="DM107" s="68">
        <f>(((DL107*DL107)*(DK107*DK107))*(SIN(DI107))*(COS(DI107)))</f>
        <v>3.5915161613400253E-27</v>
      </c>
      <c r="DN107" s="68">
        <f>((((COS(DI107))*DK107)/2)+DG107)</f>
        <v>0.45480516874807669</v>
      </c>
      <c r="DO107" s="68">
        <f>(((TAN((DN107-DG107)+DN107))*DM107)*(TAN(DI107)))</f>
        <v>9.5565810916965521E-12</v>
      </c>
      <c r="DP107" s="68">
        <f>((((COS(DI107-(DM107/3)))*DK107)*((SQRT(DL107))*DL107))-(DO107/2))</f>
        <v>-4.7782905466628995E-12</v>
      </c>
      <c r="DQ107" s="68">
        <f>(DG107+DP107)</f>
        <v>0.4548051687432984</v>
      </c>
      <c r="DR107" s="68">
        <f>ROUND(((((SQRT((((COS(DQ107))*(COS(DQ107)))/148.38)+1))*DK107)*(SIN(DI107-(DM107/6))))/(COS(DQ107+(DO107/6)))),9)</f>
        <v>-4.9080000000000003E-6</v>
      </c>
      <c r="DS107" s="68">
        <f>ROUND((DH107-DR107),9)</f>
        <v>1.3986128200000001</v>
      </c>
      <c r="DT107" s="68">
        <f>(DQ107*(180/PI()))</f>
        <v>26.058416669726224</v>
      </c>
      <c r="DU107" s="68">
        <f t="shared" si="111"/>
        <v>260330.3</v>
      </c>
      <c r="DV107" s="68">
        <f>ROUND((DS107*(180/PI())),8)</f>
        <v>80.134611759999999</v>
      </c>
      <c r="DW107" s="68">
        <f t="shared" si="113"/>
        <v>800804.6</v>
      </c>
      <c r="DX107" s="68">
        <f>(CL107)</f>
        <v>26.05801022</v>
      </c>
      <c r="DY107" s="68">
        <f>(CM107)</f>
        <v>80.134611750000005</v>
      </c>
      <c r="DZ107" s="68">
        <f>(DT107)</f>
        <v>26.058416669726224</v>
      </c>
      <c r="EA107" s="68">
        <f>(DV107)</f>
        <v>80.134611759999999</v>
      </c>
      <c r="EB107" s="68">
        <f>ROUND((DX107-DZ107),9)</f>
        <v>-4.0644999999999999E-4</v>
      </c>
      <c r="EC107" s="68">
        <f>(DY107-EA107)</f>
        <v>-9.9999937219763524E-9</v>
      </c>
      <c r="ED107" s="68">
        <f>SIN((DZ107+(EB107/2))*(PI()/180))</f>
        <v>0.43928410975197846</v>
      </c>
      <c r="EE107" s="68">
        <f>SQRT(((((COS((DZ107+(EB107/2))*(PI()/180)))*(COS((DZ107+(EB107/2))*(PI()/180))))/148.38)+1))</f>
        <v>1.0027157807635787</v>
      </c>
      <c r="EF107" s="68">
        <f>(COS((DZ107+(EB107/2))*(PI()/180)))</f>
        <v>0.89834819024663914</v>
      </c>
      <c r="EG107" s="68">
        <f>(ED107/EF107)</f>
        <v>0.48899092191789706</v>
      </c>
      <c r="EH107" s="68">
        <f t="shared" si="124"/>
        <v>0.23911212171811491</v>
      </c>
      <c r="EI107" s="68">
        <f>(EC107*EF107)*(EC107*EF107)</f>
        <v>8.070284576097094E-17</v>
      </c>
      <c r="EJ107" s="68">
        <f>(((((-1*(2+(EH107*3)))*EI107)/78787)+1)/(EE107*EE107*EE107))*(EB107*-1)</f>
        <v>4.0315641819066726E-4</v>
      </c>
      <c r="EK107" s="68">
        <f>(((((EI107*(EH107*-1))+(EB107*EB107))/78787)+1)/EE107)*(EC107*EF107)</f>
        <v>-8.959145188473082E-9</v>
      </c>
      <c r="EL107" s="68">
        <f>((((((EB107*EB107*3)+2*EI107)/78787)+1)*(EF107*EC107))*EG107)/2</f>
        <v>-2.1964191698556946E-9</v>
      </c>
      <c r="EM107" s="68">
        <f>(ROUND((SQRT((EK107*EK107)+(EJ107*EJ107))),11))*111693.756178</f>
        <v>45.030054877075358</v>
      </c>
      <c r="EN107" s="68">
        <f>IF((DX107=DZ107),(90*(EK107/(ABS(EK107)))),(IF((DX107&gt;DZ107),(IF((((ATAN(EK107/EJ107))*(180/PI()))&gt;0),(((ATAN(EK107/EJ107))*(180/PI()))-180),(((ATAN(EK107/EJ107))*(180/PI()))+180))),((ATAN(EK107/EJ107))*(180/PI())))))</f>
        <v>-1.2732556995215154E-3</v>
      </c>
      <c r="EO107" s="68">
        <f>IF((EL107&gt;EN107),(IF(((EN107+360-EL107)&gt;360),(EN107+360+EL107)-360,EN107+360-EL107)),(EN107-EL107))</f>
        <v>359.99872674649691</v>
      </c>
      <c r="EP107" s="68">
        <f>IF(((EN107+180+EL107)&gt;360),(EN107+180+EL107)-360,EN107+180+EL107)</f>
        <v>179.99872674210405</v>
      </c>
      <c r="EQ107" s="68">
        <f>(ROUND((EM107/1852),7))</f>
        <v>2.43143E-2</v>
      </c>
      <c r="ER107" s="68">
        <f t="shared" si="134"/>
        <v>147.73599999999999</v>
      </c>
    </row>
    <row r="108" spans="82:148" x14ac:dyDescent="0.25">
      <c r="CD108" s="68" t="s">
        <v>631</v>
      </c>
      <c r="CE108" s="69">
        <f t="shared" si="72"/>
        <v>260330.3</v>
      </c>
      <c r="CF108" s="69">
        <f t="shared" si="73"/>
        <v>800803.59</v>
      </c>
      <c r="CG108" s="70">
        <f t="shared" si="138"/>
        <v>270</v>
      </c>
      <c r="CH108" s="69">
        <f>IF(AND(G12="",H12="",I12=""),(CX5),G12)</f>
        <v>260330.30001199999</v>
      </c>
      <c r="CI108" s="69">
        <f>IF(AND(G12="",H12="",I12=""),(CY5),H12)</f>
        <v>800803.59001599997</v>
      </c>
      <c r="CJ108" s="68">
        <f t="shared" ref="CJ108:CJ171" si="139">(ROUND(((((((CE108)-((TRUNC(CE108/100))*100))/60)+(TRUNC(CE108/100))-((TRUNC(CE108/10000))*100))/60)+((TRUNC(CE108/10000)))),8))</f>
        <v>26.05841667</v>
      </c>
      <c r="CK108" s="68">
        <f t="shared" ref="CK108:CK171" si="140">(ROUND(((((((CF108)-((TRUNC(CF108/100))*100))/60)+(TRUNC(CF108/100))-((TRUNC(CF108/10000))*100))/60)+((TRUNC(CF108/10000)))),8))</f>
        <v>80.134330559999995</v>
      </c>
      <c r="CL108" s="68">
        <f t="shared" ref="CL108:CL171" si="141">(ROUND(((((((CH108)-((TRUNC(CH108/100))*100))/60)+(TRUNC(CH108/100))-((TRUNC(CH108/10000))*100))/60)+((TRUNC(CH108/10000)))),8))</f>
        <v>26.05841667</v>
      </c>
      <c r="CM108" s="68">
        <f t="shared" ref="CM108:CM171" si="142">(ROUND(((((((CI108)-((TRUNC(CI108/100))*100))/60)+(TRUNC(CI108/100))-((TRUNC(CI108/10000))*100))/60)+((TRUNC(CI108/10000)))),8))</f>
        <v>80.134330559999995</v>
      </c>
      <c r="CN108" s="68">
        <f t="shared" ref="CN108:CN171" si="143">(CJ108-CL108)</f>
        <v>0</v>
      </c>
      <c r="CO108" s="68">
        <f t="shared" ref="CO108:CO171" si="144">(CK108-CM108)</f>
        <v>0</v>
      </c>
      <c r="CP108" s="68">
        <f t="shared" ref="CP108:CP171" si="145">SIN((CL108+(CN108/2))*(PI()/180))</f>
        <v>0.43928729614546391</v>
      </c>
      <c r="CQ108" s="68">
        <f t="shared" ref="CQ108:CQ171" si="146">(SQRT((((COS((CL108+(CN108/2))*(PI()/180)))*(COS((CL108+(CN108/2))*(PI()/180))))/148.38)+1))</f>
        <v>1.0027157713556663</v>
      </c>
      <c r="CR108" s="68">
        <f t="shared" ref="CR108:CR171" si="147">(COS((CL108+(CN108/2))*(PI()/180)))*CO108</f>
        <v>0</v>
      </c>
      <c r="CS108" s="68">
        <f t="shared" ref="CS108:CS171" si="148">ROUND((CP108/(COS((CL108+(CN108/2))*(PI()/180)))),9)</f>
        <v>0.48899531699999998</v>
      </c>
      <c r="CT108" s="68">
        <f t="shared" si="84"/>
        <v>0.23911642</v>
      </c>
      <c r="CU108" s="68">
        <f t="shared" ref="CU108:CU171" si="149">ROUND((CR108*CR108),9)</f>
        <v>0</v>
      </c>
      <c r="CV108" s="68">
        <f t="shared" ref="CV108:CV171" si="150">(((((((CT108*3+2)*-1)*CU108)/78787)+1)/(CQ108*CQ108*CQ108))*(CN108*-1))</f>
        <v>0</v>
      </c>
      <c r="CW108" s="68">
        <f t="shared" ref="CW108:CW171" si="151">((((((CN108*CN108)+(CU108*(-1*CT108)))/78787)+1)/CQ108)*CR108)</f>
        <v>0</v>
      </c>
      <c r="CX108" s="68">
        <f t="shared" ref="CX108:CX171" si="152">ROUND((((CR108*(((CU108+CU108+(3*CN108*CN108))/78787)+1))*CS108)/2),9)</f>
        <v>0</v>
      </c>
      <c r="CY108" s="68">
        <f t="shared" ref="CY108:CY171" si="153">(ROUND((SQRT((CW108*CW108)+(CV108*CV108))),9))*111693.756178</f>
        <v>0</v>
      </c>
      <c r="CZ108" s="68" t="e">
        <f t="shared" ref="CZ108:CZ171" si="154">IF((CE108=CH108),(90*(CW108/(ABS(CW108)))),(IF((CE108&gt;CH108),(((ATAN(CW108/CV108))*(180/PI()))-180),((ATAN(CW108/CV108))*(180/PI())))))</f>
        <v>#DIV/0!</v>
      </c>
      <c r="DA108" s="68" t="e">
        <f t="shared" ref="DA108:DA171" si="155">ROUND((IF((CX108&gt;CZ108),(CZ108+360-CX108),(CZ108-CX108))),9)</f>
        <v>#DIV/0!</v>
      </c>
      <c r="DB108" s="68" t="e">
        <f t="shared" ref="DB108:DB171" si="156">ROUND((IF(((CZ108+180+CX108)&lt;0),(CZ108+180+CX108+360),(CZ108+180+CX108))),9)</f>
        <v>#DIV/0!</v>
      </c>
      <c r="DC108" s="68" t="e">
        <f t="shared" ref="DC108:DC171" si="157">ROUND((DA108+360),9)</f>
        <v>#DIV/0!</v>
      </c>
      <c r="DD108" s="68" t="e">
        <f t="shared" ref="DD108:DD171" si="158">IF((AND(((ABS(CG108+360-DC108))&gt;180),((ABS(CG108+360-DC108))&lt;&gt;180))),(COS((ABS(((ABS(CG108+360-DC108))*-1)+360))*(PI()/180))),(COS((ABS(CG108+360-DC108))*(PI()/180))))</f>
        <v>#DIV/0!</v>
      </c>
      <c r="DE108" s="68" t="e">
        <f t="shared" ref="DE108:DE171" si="159">ROUND(((CY108/1852)*DD108),7)</f>
        <v>#DIV/0!</v>
      </c>
      <c r="DF108" s="68" t="e">
        <f t="shared" si="96"/>
        <v>#DIV/0!</v>
      </c>
      <c r="DG108" s="68">
        <f t="shared" ref="DG108:DG171" si="160">(CJ108*(PI()/180))</f>
        <v>0.45480516874807669</v>
      </c>
      <c r="DH108" s="68">
        <f t="shared" ref="DH108:DH171" si="161">(CK108*(PI()/180))</f>
        <v>1.3986079121535113</v>
      </c>
      <c r="DI108" s="68">
        <f t="shared" ref="DI108:DI171" si="162">(CG108*(PI()/180))</f>
        <v>4.7123889803846897</v>
      </c>
      <c r="DJ108" s="68" t="e">
        <f t="shared" ref="DJ108:DJ171" si="163">(DA108+DI108)</f>
        <v>#DIV/0!</v>
      </c>
      <c r="DK108" s="68" t="e">
        <f t="shared" ref="DK108:DK171" si="164">((DE108*1852)/6399598.4)</f>
        <v>#DIV/0!</v>
      </c>
      <c r="DL108" s="68" t="e">
        <f t="shared" ref="DL108:DL171" si="165">((1+(((COS((((COS(DI108))*DK108)/2)+DG108))*(COS((((COS(DI108))*DK108)/2)+DG108)))/148.38)))</f>
        <v>#DIV/0!</v>
      </c>
      <c r="DM108" s="68" t="e">
        <f t="shared" ref="DM108:DM171" si="166">(((DL108*DL108)*(DK108*DK108))*(SIN(DI108))*(COS(DI108)))</f>
        <v>#DIV/0!</v>
      </c>
      <c r="DN108" s="68" t="e">
        <f t="shared" ref="DN108:DN171" si="167">((((COS(DI108))*DK108)/2)+DG108)</f>
        <v>#DIV/0!</v>
      </c>
      <c r="DO108" s="68" t="e">
        <f t="shared" ref="DO108:DO171" si="168">(((TAN((DN108-DG108)+DN108))*DM108)*(TAN(DI108)))</f>
        <v>#DIV/0!</v>
      </c>
      <c r="DP108" s="68" t="e">
        <f t="shared" ref="DP108:DP171" si="169">((((COS(DI108-(DM108/3)))*DK108)*((SQRT(DL108))*DL108))-(DO108/2))</f>
        <v>#DIV/0!</v>
      </c>
      <c r="DQ108" s="68" t="e">
        <f t="shared" ref="DQ108:DQ171" si="170">(DG108+DP108)</f>
        <v>#DIV/0!</v>
      </c>
      <c r="DR108" s="68" t="e">
        <f t="shared" ref="DR108:DR171" si="171">ROUND(((((SQRT((((COS(DQ108))*(COS(DQ108)))/148.38)+1))*DK108)*(SIN(DI108-(DM108/6))))/(COS(DQ108+(DO108/6)))),9)</f>
        <v>#DIV/0!</v>
      </c>
      <c r="DS108" s="68" t="e">
        <f t="shared" ref="DS108:DS171" si="172">ROUND((DH108-DR108),9)</f>
        <v>#DIV/0!</v>
      </c>
      <c r="DT108" s="68" t="e">
        <f t="shared" ref="DT108:DT171" si="173">(DQ108*(180/PI()))</f>
        <v>#DIV/0!</v>
      </c>
      <c r="DU108" s="68" t="e">
        <f t="shared" si="111"/>
        <v>#DIV/0!</v>
      </c>
      <c r="DV108" s="68" t="e">
        <f t="shared" ref="DV108:DV171" si="174">ROUND((DS108*(180/PI())),8)</f>
        <v>#DIV/0!</v>
      </c>
      <c r="DW108" s="68" t="e">
        <f t="shared" si="113"/>
        <v>#DIV/0!</v>
      </c>
      <c r="DX108" s="68">
        <f t="shared" ref="DX108:DX171" si="175">(CL108)</f>
        <v>26.05841667</v>
      </c>
      <c r="DY108" s="68">
        <f t="shared" ref="DY108:DY171" si="176">(CM108)</f>
        <v>80.134330559999995</v>
      </c>
      <c r="DZ108" s="68" t="e">
        <f t="shared" ref="DZ108:DZ171" si="177">(DT108)</f>
        <v>#DIV/0!</v>
      </c>
      <c r="EA108" s="68" t="e">
        <f t="shared" ref="EA108:EA171" si="178">(DV108)</f>
        <v>#DIV/0!</v>
      </c>
      <c r="EB108" s="68" t="e">
        <f t="shared" ref="EB108:EB171" si="179">ROUND((DX108-DZ108),9)</f>
        <v>#DIV/0!</v>
      </c>
      <c r="EC108" s="68" t="e">
        <f t="shared" ref="EC108:EC171" si="180">(DY108-EA108)</f>
        <v>#DIV/0!</v>
      </c>
      <c r="ED108" s="68" t="e">
        <f t="shared" ref="ED108:ED171" si="181">SIN((DZ108+(EB108/2))*(PI()/180))</f>
        <v>#DIV/0!</v>
      </c>
      <c r="EE108" s="68" t="e">
        <f t="shared" ref="EE108:EE171" si="182">SQRT(((((COS((DZ108+(EB108/2))*(PI()/180)))*(COS((DZ108+(EB108/2))*(PI()/180))))/148.38)+1))</f>
        <v>#DIV/0!</v>
      </c>
      <c r="EF108" s="68" t="e">
        <f t="shared" ref="EF108:EF171" si="183">(COS((DZ108+(EB108/2))*(PI()/180)))</f>
        <v>#DIV/0!</v>
      </c>
      <c r="EG108" s="68" t="e">
        <f t="shared" ref="EG108:EG171" si="184">(ED108/EF108)</f>
        <v>#DIV/0!</v>
      </c>
      <c r="EH108" s="68" t="e">
        <f t="shared" si="124"/>
        <v>#DIV/0!</v>
      </c>
      <c r="EI108" s="68" t="e">
        <f t="shared" ref="EI108:EI171" si="185">(EC108*EF108)*(EC108*EF108)</f>
        <v>#DIV/0!</v>
      </c>
      <c r="EJ108" s="68" t="e">
        <f t="shared" ref="EJ108:EJ171" si="186">(((((-1*(2+(EH108*3)))*EI108)/78787)+1)/(EE108*EE108*EE108))*(EB108*-1)</f>
        <v>#DIV/0!</v>
      </c>
      <c r="EK108" s="68" t="e">
        <f t="shared" ref="EK108:EK171" si="187">(((((EI108*(EH108*-1))+(EB108*EB108))/78787)+1)/EE108)*(EC108*EF108)</f>
        <v>#DIV/0!</v>
      </c>
      <c r="EL108" s="68" t="e">
        <f t="shared" ref="EL108:EL171" si="188">((((((EB108*EB108*3)+2*EI108)/78787)+1)*(EF108*EC108))*EG108)/2</f>
        <v>#DIV/0!</v>
      </c>
      <c r="EM108" s="68" t="e">
        <f t="shared" ref="EM108:EM171" si="189">(ROUND((SQRT((EK108*EK108)+(EJ108*EJ108))),11))*111693.756178</f>
        <v>#DIV/0!</v>
      </c>
      <c r="EN108" s="68" t="e">
        <f t="shared" ref="EN108:EN171" si="190">IF((DX108=DZ108),(90*(EK108/(ABS(EK108)))),(IF((DX108&gt;DZ108),(IF((((ATAN(EK108/EJ108))*(180/PI()))&gt;0),(((ATAN(EK108/EJ108))*(180/PI()))-180),(((ATAN(EK108/EJ108))*(180/PI()))+180))),((ATAN(EK108/EJ108))*(180/PI())))))</f>
        <v>#DIV/0!</v>
      </c>
      <c r="EO108" s="68" t="e">
        <f t="shared" ref="EO108:EO171" si="191">IF((EL108&gt;EN108),(IF(((EN108+360-EL108)&gt;360),(EN108+360+EL108)-360,EN108+360-EL108)),(EN108-EL108))</f>
        <v>#DIV/0!</v>
      </c>
      <c r="EP108" s="68" t="e">
        <f t="shared" ref="EP108:EP171" si="192">IF(((EN108+180+EL108)&gt;360),(EN108+180+EL108)-360,EN108+180+EL108)</f>
        <v>#DIV/0!</v>
      </c>
      <c r="EQ108" s="68" t="e">
        <f t="shared" ref="EQ108:EQ171" si="193">(ROUND((EM108/1852),7))</f>
        <v>#DIV/0!</v>
      </c>
      <c r="ER108" s="68" t="e">
        <f t="shared" si="134"/>
        <v>#DIV/0!</v>
      </c>
    </row>
    <row r="109" spans="82:148" x14ac:dyDescent="0.25">
      <c r="CD109" s="68" t="s">
        <v>632</v>
      </c>
      <c r="CE109" s="69">
        <f t="shared" si="72"/>
        <v>260330.3</v>
      </c>
      <c r="CF109" s="69">
        <f t="shared" si="73"/>
        <v>800803.59</v>
      </c>
      <c r="CG109" s="70">
        <f t="shared" si="138"/>
        <v>270</v>
      </c>
      <c r="CH109" s="69">
        <f>IF(AND(G13="",H13="",I13=""),(CX6),G13)</f>
        <v>260330.30001199999</v>
      </c>
      <c r="CI109" s="69">
        <f>IF(AND(G13="",H13="",I13=""),(CY6),H13)</f>
        <v>800803.59001599997</v>
      </c>
      <c r="CJ109" s="68">
        <f t="shared" si="139"/>
        <v>26.05841667</v>
      </c>
      <c r="CK109" s="68">
        <f t="shared" si="140"/>
        <v>80.134330559999995</v>
      </c>
      <c r="CL109" s="68">
        <f t="shared" si="141"/>
        <v>26.05841667</v>
      </c>
      <c r="CM109" s="68">
        <f t="shared" si="142"/>
        <v>80.134330559999995</v>
      </c>
      <c r="CN109" s="68">
        <f t="shared" si="143"/>
        <v>0</v>
      </c>
      <c r="CO109" s="68">
        <f t="shared" si="144"/>
        <v>0</v>
      </c>
      <c r="CP109" s="68">
        <f t="shared" si="145"/>
        <v>0.43928729614546391</v>
      </c>
      <c r="CQ109" s="68">
        <f t="shared" si="146"/>
        <v>1.0027157713556663</v>
      </c>
      <c r="CR109" s="68">
        <f t="shared" si="147"/>
        <v>0</v>
      </c>
      <c r="CS109" s="68">
        <f t="shared" si="148"/>
        <v>0.48899531699999998</v>
      </c>
      <c r="CT109" s="68">
        <f t="shared" si="84"/>
        <v>0.23911642</v>
      </c>
      <c r="CU109" s="68">
        <f t="shared" si="149"/>
        <v>0</v>
      </c>
      <c r="CV109" s="68">
        <f t="shared" si="150"/>
        <v>0</v>
      </c>
      <c r="CW109" s="68">
        <f t="shared" si="151"/>
        <v>0</v>
      </c>
      <c r="CX109" s="68">
        <f t="shared" si="152"/>
        <v>0</v>
      </c>
      <c r="CY109" s="68">
        <f t="shared" si="153"/>
        <v>0</v>
      </c>
      <c r="CZ109" s="68" t="e">
        <f t="shared" si="154"/>
        <v>#DIV/0!</v>
      </c>
      <c r="DA109" s="68" t="e">
        <f t="shared" si="155"/>
        <v>#DIV/0!</v>
      </c>
      <c r="DB109" s="68" t="e">
        <f t="shared" si="156"/>
        <v>#DIV/0!</v>
      </c>
      <c r="DC109" s="68" t="e">
        <f t="shared" si="157"/>
        <v>#DIV/0!</v>
      </c>
      <c r="DD109" s="68" t="e">
        <f t="shared" si="158"/>
        <v>#DIV/0!</v>
      </c>
      <c r="DE109" s="68" t="e">
        <f t="shared" si="159"/>
        <v>#DIV/0!</v>
      </c>
      <c r="DF109" s="68" t="e">
        <f t="shared" si="96"/>
        <v>#DIV/0!</v>
      </c>
      <c r="DG109" s="68">
        <f t="shared" si="160"/>
        <v>0.45480516874807669</v>
      </c>
      <c r="DH109" s="68">
        <f t="shared" si="161"/>
        <v>1.3986079121535113</v>
      </c>
      <c r="DI109" s="68">
        <f t="shared" si="162"/>
        <v>4.7123889803846897</v>
      </c>
      <c r="DJ109" s="68" t="e">
        <f t="shared" si="163"/>
        <v>#DIV/0!</v>
      </c>
      <c r="DK109" s="68" t="e">
        <f t="shared" si="164"/>
        <v>#DIV/0!</v>
      </c>
      <c r="DL109" s="68" t="e">
        <f t="shared" si="165"/>
        <v>#DIV/0!</v>
      </c>
      <c r="DM109" s="68" t="e">
        <f t="shared" si="166"/>
        <v>#DIV/0!</v>
      </c>
      <c r="DN109" s="68" t="e">
        <f t="shared" si="167"/>
        <v>#DIV/0!</v>
      </c>
      <c r="DO109" s="68" t="e">
        <f t="shared" si="168"/>
        <v>#DIV/0!</v>
      </c>
      <c r="DP109" s="68" t="e">
        <f t="shared" si="169"/>
        <v>#DIV/0!</v>
      </c>
      <c r="DQ109" s="68" t="e">
        <f t="shared" si="170"/>
        <v>#DIV/0!</v>
      </c>
      <c r="DR109" s="68" t="e">
        <f t="shared" si="171"/>
        <v>#DIV/0!</v>
      </c>
      <c r="DS109" s="68" t="e">
        <f t="shared" si="172"/>
        <v>#DIV/0!</v>
      </c>
      <c r="DT109" s="68" t="e">
        <f t="shared" si="173"/>
        <v>#DIV/0!</v>
      </c>
      <c r="DU109" s="68" t="e">
        <f t="shared" si="111"/>
        <v>#DIV/0!</v>
      </c>
      <c r="DV109" s="68" t="e">
        <f t="shared" si="174"/>
        <v>#DIV/0!</v>
      </c>
      <c r="DW109" s="68" t="e">
        <f t="shared" si="113"/>
        <v>#DIV/0!</v>
      </c>
      <c r="DX109" s="68">
        <f t="shared" si="175"/>
        <v>26.05841667</v>
      </c>
      <c r="DY109" s="68">
        <f t="shared" si="176"/>
        <v>80.134330559999995</v>
      </c>
      <c r="DZ109" s="68" t="e">
        <f t="shared" si="177"/>
        <v>#DIV/0!</v>
      </c>
      <c r="EA109" s="68" t="e">
        <f t="shared" si="178"/>
        <v>#DIV/0!</v>
      </c>
      <c r="EB109" s="68" t="e">
        <f t="shared" si="179"/>
        <v>#DIV/0!</v>
      </c>
      <c r="EC109" s="68" t="e">
        <f t="shared" si="180"/>
        <v>#DIV/0!</v>
      </c>
      <c r="ED109" s="68" t="e">
        <f t="shared" si="181"/>
        <v>#DIV/0!</v>
      </c>
      <c r="EE109" s="68" t="e">
        <f t="shared" si="182"/>
        <v>#DIV/0!</v>
      </c>
      <c r="EF109" s="68" t="e">
        <f t="shared" si="183"/>
        <v>#DIV/0!</v>
      </c>
      <c r="EG109" s="68" t="e">
        <f t="shared" si="184"/>
        <v>#DIV/0!</v>
      </c>
      <c r="EH109" s="68" t="e">
        <f t="shared" si="124"/>
        <v>#DIV/0!</v>
      </c>
      <c r="EI109" s="68" t="e">
        <f t="shared" si="185"/>
        <v>#DIV/0!</v>
      </c>
      <c r="EJ109" s="68" t="e">
        <f t="shared" si="186"/>
        <v>#DIV/0!</v>
      </c>
      <c r="EK109" s="68" t="e">
        <f t="shared" si="187"/>
        <v>#DIV/0!</v>
      </c>
      <c r="EL109" s="68" t="e">
        <f t="shared" si="188"/>
        <v>#DIV/0!</v>
      </c>
      <c r="EM109" s="68" t="e">
        <f t="shared" si="189"/>
        <v>#DIV/0!</v>
      </c>
      <c r="EN109" s="68" t="e">
        <f t="shared" si="190"/>
        <v>#DIV/0!</v>
      </c>
      <c r="EO109" s="68" t="e">
        <f t="shared" si="191"/>
        <v>#DIV/0!</v>
      </c>
      <c r="EP109" s="68" t="e">
        <f t="shared" si="192"/>
        <v>#DIV/0!</v>
      </c>
      <c r="EQ109" s="68" t="e">
        <f t="shared" si="193"/>
        <v>#DIV/0!</v>
      </c>
      <c r="ER109" s="68" t="e">
        <f t="shared" si="134"/>
        <v>#DIV/0!</v>
      </c>
    </row>
    <row r="110" spans="82:148" x14ac:dyDescent="0.25">
      <c r="CD110" s="68" t="s">
        <v>633</v>
      </c>
      <c r="CE110" s="69">
        <f t="shared" si="72"/>
        <v>260330.3</v>
      </c>
      <c r="CF110" s="69">
        <f t="shared" si="73"/>
        <v>800803.59</v>
      </c>
      <c r="CG110" s="70">
        <f t="shared" si="138"/>
        <v>270</v>
      </c>
      <c r="CH110" s="69">
        <f>IF(AND(G14="",H14="",I14=""),(CX7),G14)</f>
        <v>260330.30001199999</v>
      </c>
      <c r="CI110" s="69">
        <f>IF(AND(G14="",H14="",I14=""),(CY7),H14)</f>
        <v>800803.59001599997</v>
      </c>
      <c r="CJ110" s="68">
        <f t="shared" si="139"/>
        <v>26.05841667</v>
      </c>
      <c r="CK110" s="68">
        <f t="shared" si="140"/>
        <v>80.134330559999995</v>
      </c>
      <c r="CL110" s="68">
        <f t="shared" si="141"/>
        <v>26.05841667</v>
      </c>
      <c r="CM110" s="68">
        <f t="shared" si="142"/>
        <v>80.134330559999995</v>
      </c>
      <c r="CN110" s="68">
        <f t="shared" si="143"/>
        <v>0</v>
      </c>
      <c r="CO110" s="68">
        <f t="shared" si="144"/>
        <v>0</v>
      </c>
      <c r="CP110" s="68">
        <f t="shared" si="145"/>
        <v>0.43928729614546391</v>
      </c>
      <c r="CQ110" s="68">
        <f t="shared" si="146"/>
        <v>1.0027157713556663</v>
      </c>
      <c r="CR110" s="68">
        <f t="shared" si="147"/>
        <v>0</v>
      </c>
      <c r="CS110" s="68">
        <f t="shared" si="148"/>
        <v>0.48899531699999998</v>
      </c>
      <c r="CT110" s="68">
        <f t="shared" si="84"/>
        <v>0.23911642</v>
      </c>
      <c r="CU110" s="68">
        <f t="shared" si="149"/>
        <v>0</v>
      </c>
      <c r="CV110" s="68">
        <f t="shared" si="150"/>
        <v>0</v>
      </c>
      <c r="CW110" s="68">
        <f t="shared" si="151"/>
        <v>0</v>
      </c>
      <c r="CX110" s="68">
        <f t="shared" si="152"/>
        <v>0</v>
      </c>
      <c r="CY110" s="68">
        <f t="shared" si="153"/>
        <v>0</v>
      </c>
      <c r="CZ110" s="68" t="e">
        <f t="shared" si="154"/>
        <v>#DIV/0!</v>
      </c>
      <c r="DA110" s="68" t="e">
        <f t="shared" si="155"/>
        <v>#DIV/0!</v>
      </c>
      <c r="DB110" s="68" t="e">
        <f t="shared" si="156"/>
        <v>#DIV/0!</v>
      </c>
      <c r="DC110" s="68" t="e">
        <f t="shared" si="157"/>
        <v>#DIV/0!</v>
      </c>
      <c r="DD110" s="68" t="e">
        <f t="shared" si="158"/>
        <v>#DIV/0!</v>
      </c>
      <c r="DE110" s="68" t="e">
        <f t="shared" si="159"/>
        <v>#DIV/0!</v>
      </c>
      <c r="DF110" s="68" t="e">
        <f t="shared" si="96"/>
        <v>#DIV/0!</v>
      </c>
      <c r="DG110" s="68">
        <f t="shared" si="160"/>
        <v>0.45480516874807669</v>
      </c>
      <c r="DH110" s="68">
        <f t="shared" si="161"/>
        <v>1.3986079121535113</v>
      </c>
      <c r="DI110" s="68">
        <f t="shared" si="162"/>
        <v>4.7123889803846897</v>
      </c>
      <c r="DJ110" s="68" t="e">
        <f t="shared" si="163"/>
        <v>#DIV/0!</v>
      </c>
      <c r="DK110" s="68" t="e">
        <f t="shared" si="164"/>
        <v>#DIV/0!</v>
      </c>
      <c r="DL110" s="68" t="e">
        <f t="shared" si="165"/>
        <v>#DIV/0!</v>
      </c>
      <c r="DM110" s="68" t="e">
        <f t="shared" si="166"/>
        <v>#DIV/0!</v>
      </c>
      <c r="DN110" s="68" t="e">
        <f t="shared" si="167"/>
        <v>#DIV/0!</v>
      </c>
      <c r="DO110" s="68" t="e">
        <f t="shared" si="168"/>
        <v>#DIV/0!</v>
      </c>
      <c r="DP110" s="68" t="e">
        <f t="shared" si="169"/>
        <v>#DIV/0!</v>
      </c>
      <c r="DQ110" s="68" t="e">
        <f t="shared" si="170"/>
        <v>#DIV/0!</v>
      </c>
      <c r="DR110" s="68" t="e">
        <f t="shared" si="171"/>
        <v>#DIV/0!</v>
      </c>
      <c r="DS110" s="68" t="e">
        <f t="shared" si="172"/>
        <v>#DIV/0!</v>
      </c>
      <c r="DT110" s="68" t="e">
        <f t="shared" si="173"/>
        <v>#DIV/0!</v>
      </c>
      <c r="DU110" s="68" t="e">
        <f t="shared" si="111"/>
        <v>#DIV/0!</v>
      </c>
      <c r="DV110" s="68" t="e">
        <f t="shared" si="174"/>
        <v>#DIV/0!</v>
      </c>
      <c r="DW110" s="68" t="e">
        <f t="shared" si="113"/>
        <v>#DIV/0!</v>
      </c>
      <c r="DX110" s="68">
        <f t="shared" si="175"/>
        <v>26.05841667</v>
      </c>
      <c r="DY110" s="68">
        <f t="shared" si="176"/>
        <v>80.134330559999995</v>
      </c>
      <c r="DZ110" s="68" t="e">
        <f t="shared" si="177"/>
        <v>#DIV/0!</v>
      </c>
      <c r="EA110" s="68" t="e">
        <f t="shared" si="178"/>
        <v>#DIV/0!</v>
      </c>
      <c r="EB110" s="68" t="e">
        <f t="shared" si="179"/>
        <v>#DIV/0!</v>
      </c>
      <c r="EC110" s="68" t="e">
        <f t="shared" si="180"/>
        <v>#DIV/0!</v>
      </c>
      <c r="ED110" s="68" t="e">
        <f t="shared" si="181"/>
        <v>#DIV/0!</v>
      </c>
      <c r="EE110" s="68" t="e">
        <f t="shared" si="182"/>
        <v>#DIV/0!</v>
      </c>
      <c r="EF110" s="68" t="e">
        <f t="shared" si="183"/>
        <v>#DIV/0!</v>
      </c>
      <c r="EG110" s="68" t="e">
        <f t="shared" si="184"/>
        <v>#DIV/0!</v>
      </c>
      <c r="EH110" s="68" t="e">
        <f t="shared" si="124"/>
        <v>#DIV/0!</v>
      </c>
      <c r="EI110" s="68" t="e">
        <f t="shared" si="185"/>
        <v>#DIV/0!</v>
      </c>
      <c r="EJ110" s="68" t="e">
        <f t="shared" si="186"/>
        <v>#DIV/0!</v>
      </c>
      <c r="EK110" s="68" t="e">
        <f t="shared" si="187"/>
        <v>#DIV/0!</v>
      </c>
      <c r="EL110" s="68" t="e">
        <f t="shared" si="188"/>
        <v>#DIV/0!</v>
      </c>
      <c r="EM110" s="68" t="e">
        <f t="shared" si="189"/>
        <v>#DIV/0!</v>
      </c>
      <c r="EN110" s="68" t="e">
        <f t="shared" si="190"/>
        <v>#DIV/0!</v>
      </c>
      <c r="EO110" s="68" t="e">
        <f t="shared" si="191"/>
        <v>#DIV/0!</v>
      </c>
      <c r="EP110" s="68" t="e">
        <f t="shared" si="192"/>
        <v>#DIV/0!</v>
      </c>
      <c r="EQ110" s="68" t="e">
        <f t="shared" si="193"/>
        <v>#DIV/0!</v>
      </c>
      <c r="ER110" s="68" t="e">
        <f t="shared" si="134"/>
        <v>#DIV/0!</v>
      </c>
    </row>
    <row r="111" spans="82:148" x14ac:dyDescent="0.25">
      <c r="CD111" s="68" t="s">
        <v>634</v>
      </c>
      <c r="CE111" s="69">
        <f t="shared" si="72"/>
        <v>260330.3</v>
      </c>
      <c r="CF111" s="69">
        <f t="shared" si="73"/>
        <v>800803.59</v>
      </c>
      <c r="CG111" s="70">
        <f t="shared" si="138"/>
        <v>270</v>
      </c>
      <c r="CH111" s="69">
        <f>IF(AND(G15="",H15="",I15=""),(CX8),G15)</f>
        <v>260330.30001199999</v>
      </c>
      <c r="CI111" s="69">
        <f>IF(AND(G15="",H15="",I15=""),(CY8),H15)</f>
        <v>800803.59001599997</v>
      </c>
      <c r="CJ111" s="68">
        <f t="shared" si="139"/>
        <v>26.05841667</v>
      </c>
      <c r="CK111" s="68">
        <f t="shared" si="140"/>
        <v>80.134330559999995</v>
      </c>
      <c r="CL111" s="68">
        <f t="shared" si="141"/>
        <v>26.05841667</v>
      </c>
      <c r="CM111" s="68">
        <f t="shared" si="142"/>
        <v>80.134330559999995</v>
      </c>
      <c r="CN111" s="68">
        <f t="shared" si="143"/>
        <v>0</v>
      </c>
      <c r="CO111" s="68">
        <f t="shared" si="144"/>
        <v>0</v>
      </c>
      <c r="CP111" s="68">
        <f t="shared" si="145"/>
        <v>0.43928729614546391</v>
      </c>
      <c r="CQ111" s="68">
        <f t="shared" si="146"/>
        <v>1.0027157713556663</v>
      </c>
      <c r="CR111" s="68">
        <f t="shared" si="147"/>
        <v>0</v>
      </c>
      <c r="CS111" s="68">
        <f t="shared" si="148"/>
        <v>0.48899531699999998</v>
      </c>
      <c r="CT111" s="68">
        <f t="shared" si="84"/>
        <v>0.23911642</v>
      </c>
      <c r="CU111" s="68">
        <f t="shared" si="149"/>
        <v>0</v>
      </c>
      <c r="CV111" s="68">
        <f t="shared" si="150"/>
        <v>0</v>
      </c>
      <c r="CW111" s="68">
        <f t="shared" si="151"/>
        <v>0</v>
      </c>
      <c r="CX111" s="68">
        <f t="shared" si="152"/>
        <v>0</v>
      </c>
      <c r="CY111" s="68">
        <f t="shared" si="153"/>
        <v>0</v>
      </c>
      <c r="CZ111" s="68" t="e">
        <f t="shared" si="154"/>
        <v>#DIV/0!</v>
      </c>
      <c r="DA111" s="68" t="e">
        <f t="shared" si="155"/>
        <v>#DIV/0!</v>
      </c>
      <c r="DB111" s="68" t="e">
        <f t="shared" si="156"/>
        <v>#DIV/0!</v>
      </c>
      <c r="DC111" s="68" t="e">
        <f t="shared" si="157"/>
        <v>#DIV/0!</v>
      </c>
      <c r="DD111" s="68" t="e">
        <f t="shared" si="158"/>
        <v>#DIV/0!</v>
      </c>
      <c r="DE111" s="68" t="e">
        <f t="shared" si="159"/>
        <v>#DIV/0!</v>
      </c>
      <c r="DF111" s="68" t="e">
        <f t="shared" si="96"/>
        <v>#DIV/0!</v>
      </c>
      <c r="DG111" s="68">
        <f t="shared" si="160"/>
        <v>0.45480516874807669</v>
      </c>
      <c r="DH111" s="68">
        <f t="shared" si="161"/>
        <v>1.3986079121535113</v>
      </c>
      <c r="DI111" s="68">
        <f t="shared" si="162"/>
        <v>4.7123889803846897</v>
      </c>
      <c r="DJ111" s="68" t="e">
        <f t="shared" si="163"/>
        <v>#DIV/0!</v>
      </c>
      <c r="DK111" s="68" t="e">
        <f t="shared" si="164"/>
        <v>#DIV/0!</v>
      </c>
      <c r="DL111" s="68" t="e">
        <f t="shared" si="165"/>
        <v>#DIV/0!</v>
      </c>
      <c r="DM111" s="68" t="e">
        <f t="shared" si="166"/>
        <v>#DIV/0!</v>
      </c>
      <c r="DN111" s="68" t="e">
        <f t="shared" si="167"/>
        <v>#DIV/0!</v>
      </c>
      <c r="DO111" s="68" t="e">
        <f t="shared" si="168"/>
        <v>#DIV/0!</v>
      </c>
      <c r="DP111" s="68" t="e">
        <f t="shared" si="169"/>
        <v>#DIV/0!</v>
      </c>
      <c r="DQ111" s="68" t="e">
        <f t="shared" si="170"/>
        <v>#DIV/0!</v>
      </c>
      <c r="DR111" s="68" t="e">
        <f t="shared" si="171"/>
        <v>#DIV/0!</v>
      </c>
      <c r="DS111" s="68" t="e">
        <f t="shared" si="172"/>
        <v>#DIV/0!</v>
      </c>
      <c r="DT111" s="68" t="e">
        <f t="shared" si="173"/>
        <v>#DIV/0!</v>
      </c>
      <c r="DU111" s="68" t="e">
        <f t="shared" si="111"/>
        <v>#DIV/0!</v>
      </c>
      <c r="DV111" s="68" t="e">
        <f t="shared" si="174"/>
        <v>#DIV/0!</v>
      </c>
      <c r="DW111" s="68" t="e">
        <f t="shared" si="113"/>
        <v>#DIV/0!</v>
      </c>
      <c r="DX111" s="68">
        <f t="shared" si="175"/>
        <v>26.05841667</v>
      </c>
      <c r="DY111" s="68">
        <f t="shared" si="176"/>
        <v>80.134330559999995</v>
      </c>
      <c r="DZ111" s="68" t="e">
        <f t="shared" si="177"/>
        <v>#DIV/0!</v>
      </c>
      <c r="EA111" s="68" t="e">
        <f t="shared" si="178"/>
        <v>#DIV/0!</v>
      </c>
      <c r="EB111" s="68" t="e">
        <f t="shared" si="179"/>
        <v>#DIV/0!</v>
      </c>
      <c r="EC111" s="68" t="e">
        <f t="shared" si="180"/>
        <v>#DIV/0!</v>
      </c>
      <c r="ED111" s="68" t="e">
        <f t="shared" si="181"/>
        <v>#DIV/0!</v>
      </c>
      <c r="EE111" s="68" t="e">
        <f t="shared" si="182"/>
        <v>#DIV/0!</v>
      </c>
      <c r="EF111" s="68" t="e">
        <f t="shared" si="183"/>
        <v>#DIV/0!</v>
      </c>
      <c r="EG111" s="68" t="e">
        <f t="shared" si="184"/>
        <v>#DIV/0!</v>
      </c>
      <c r="EH111" s="68" t="e">
        <f t="shared" si="124"/>
        <v>#DIV/0!</v>
      </c>
      <c r="EI111" s="68" t="e">
        <f t="shared" si="185"/>
        <v>#DIV/0!</v>
      </c>
      <c r="EJ111" s="68" t="e">
        <f t="shared" si="186"/>
        <v>#DIV/0!</v>
      </c>
      <c r="EK111" s="68" t="e">
        <f t="shared" si="187"/>
        <v>#DIV/0!</v>
      </c>
      <c r="EL111" s="68" t="e">
        <f t="shared" si="188"/>
        <v>#DIV/0!</v>
      </c>
      <c r="EM111" s="68" t="e">
        <f t="shared" si="189"/>
        <v>#DIV/0!</v>
      </c>
      <c r="EN111" s="68" t="e">
        <f t="shared" si="190"/>
        <v>#DIV/0!</v>
      </c>
      <c r="EO111" s="68" t="e">
        <f t="shared" si="191"/>
        <v>#DIV/0!</v>
      </c>
      <c r="EP111" s="68" t="e">
        <f t="shared" si="192"/>
        <v>#DIV/0!</v>
      </c>
      <c r="EQ111" s="68" t="e">
        <f t="shared" si="193"/>
        <v>#DIV/0!</v>
      </c>
      <c r="ER111" s="68" t="e">
        <f t="shared" si="134"/>
        <v>#DIV/0!</v>
      </c>
    </row>
    <row r="112" spans="82:148" x14ac:dyDescent="0.25">
      <c r="CD112" s="68" t="s">
        <v>635</v>
      </c>
      <c r="CE112" s="69">
        <f t="shared" si="72"/>
        <v>260330.3</v>
      </c>
      <c r="CF112" s="69">
        <f t="shared" si="73"/>
        <v>800803.59</v>
      </c>
      <c r="CG112" s="70">
        <f t="shared" si="138"/>
        <v>270</v>
      </c>
      <c r="CH112" s="69">
        <f t="shared" ref="CH112:CH156" si="194">IF(AND(G16="",H16="",I16=""),(CX9),G16)</f>
        <v>260330.30001199999</v>
      </c>
      <c r="CI112" s="69">
        <f t="shared" ref="CI112:CI156" si="195">IF(AND(G16="",H16="",I16=""),(CY9),H16)</f>
        <v>800803.59001599997</v>
      </c>
      <c r="CJ112" s="68">
        <f t="shared" si="139"/>
        <v>26.05841667</v>
      </c>
      <c r="CK112" s="68">
        <f t="shared" si="140"/>
        <v>80.134330559999995</v>
      </c>
      <c r="CL112" s="68">
        <f t="shared" si="141"/>
        <v>26.05841667</v>
      </c>
      <c r="CM112" s="68">
        <f t="shared" si="142"/>
        <v>80.134330559999995</v>
      </c>
      <c r="CN112" s="68">
        <f t="shared" si="143"/>
        <v>0</v>
      </c>
      <c r="CO112" s="68">
        <f t="shared" si="144"/>
        <v>0</v>
      </c>
      <c r="CP112" s="68">
        <f t="shared" si="145"/>
        <v>0.43928729614546391</v>
      </c>
      <c r="CQ112" s="68">
        <f t="shared" si="146"/>
        <v>1.0027157713556663</v>
      </c>
      <c r="CR112" s="68">
        <f t="shared" si="147"/>
        <v>0</v>
      </c>
      <c r="CS112" s="68">
        <f t="shared" si="148"/>
        <v>0.48899531699999998</v>
      </c>
      <c r="CT112" s="68">
        <f t="shared" si="84"/>
        <v>0.23911642</v>
      </c>
      <c r="CU112" s="68">
        <f t="shared" si="149"/>
        <v>0</v>
      </c>
      <c r="CV112" s="68">
        <f t="shared" si="150"/>
        <v>0</v>
      </c>
      <c r="CW112" s="68">
        <f t="shared" si="151"/>
        <v>0</v>
      </c>
      <c r="CX112" s="68">
        <f t="shared" si="152"/>
        <v>0</v>
      </c>
      <c r="CY112" s="68">
        <f t="shared" si="153"/>
        <v>0</v>
      </c>
      <c r="CZ112" s="68" t="e">
        <f t="shared" si="154"/>
        <v>#DIV/0!</v>
      </c>
      <c r="DA112" s="68" t="e">
        <f t="shared" si="155"/>
        <v>#DIV/0!</v>
      </c>
      <c r="DB112" s="68" t="e">
        <f t="shared" si="156"/>
        <v>#DIV/0!</v>
      </c>
      <c r="DC112" s="68" t="e">
        <f t="shared" si="157"/>
        <v>#DIV/0!</v>
      </c>
      <c r="DD112" s="68" t="e">
        <f t="shared" si="158"/>
        <v>#DIV/0!</v>
      </c>
      <c r="DE112" s="68" t="e">
        <f t="shared" si="159"/>
        <v>#DIV/0!</v>
      </c>
      <c r="DF112" s="68" t="e">
        <f t="shared" si="96"/>
        <v>#DIV/0!</v>
      </c>
      <c r="DG112" s="68">
        <f t="shared" si="160"/>
        <v>0.45480516874807669</v>
      </c>
      <c r="DH112" s="68">
        <f t="shared" si="161"/>
        <v>1.3986079121535113</v>
      </c>
      <c r="DI112" s="68">
        <f t="shared" si="162"/>
        <v>4.7123889803846897</v>
      </c>
      <c r="DJ112" s="68" t="e">
        <f t="shared" si="163"/>
        <v>#DIV/0!</v>
      </c>
      <c r="DK112" s="68" t="e">
        <f t="shared" si="164"/>
        <v>#DIV/0!</v>
      </c>
      <c r="DL112" s="68" t="e">
        <f t="shared" si="165"/>
        <v>#DIV/0!</v>
      </c>
      <c r="DM112" s="68" t="e">
        <f t="shared" si="166"/>
        <v>#DIV/0!</v>
      </c>
      <c r="DN112" s="68" t="e">
        <f t="shared" si="167"/>
        <v>#DIV/0!</v>
      </c>
      <c r="DO112" s="68" t="e">
        <f t="shared" si="168"/>
        <v>#DIV/0!</v>
      </c>
      <c r="DP112" s="68" t="e">
        <f t="shared" si="169"/>
        <v>#DIV/0!</v>
      </c>
      <c r="DQ112" s="68" t="e">
        <f t="shared" si="170"/>
        <v>#DIV/0!</v>
      </c>
      <c r="DR112" s="68" t="e">
        <f t="shared" si="171"/>
        <v>#DIV/0!</v>
      </c>
      <c r="DS112" s="68" t="e">
        <f t="shared" si="172"/>
        <v>#DIV/0!</v>
      </c>
      <c r="DT112" s="68" t="e">
        <f t="shared" si="173"/>
        <v>#DIV/0!</v>
      </c>
      <c r="DU112" s="68" t="e">
        <f t="shared" si="111"/>
        <v>#DIV/0!</v>
      </c>
      <c r="DV112" s="68" t="e">
        <f t="shared" si="174"/>
        <v>#DIV/0!</v>
      </c>
      <c r="DW112" s="68" t="e">
        <f t="shared" si="113"/>
        <v>#DIV/0!</v>
      </c>
      <c r="DX112" s="68">
        <f t="shared" si="175"/>
        <v>26.05841667</v>
      </c>
      <c r="DY112" s="68">
        <f t="shared" si="176"/>
        <v>80.134330559999995</v>
      </c>
      <c r="DZ112" s="68" t="e">
        <f t="shared" si="177"/>
        <v>#DIV/0!</v>
      </c>
      <c r="EA112" s="68" t="e">
        <f t="shared" si="178"/>
        <v>#DIV/0!</v>
      </c>
      <c r="EB112" s="68" t="e">
        <f t="shared" si="179"/>
        <v>#DIV/0!</v>
      </c>
      <c r="EC112" s="68" t="e">
        <f t="shared" si="180"/>
        <v>#DIV/0!</v>
      </c>
      <c r="ED112" s="68" t="e">
        <f t="shared" si="181"/>
        <v>#DIV/0!</v>
      </c>
      <c r="EE112" s="68" t="e">
        <f t="shared" si="182"/>
        <v>#DIV/0!</v>
      </c>
      <c r="EF112" s="68" t="e">
        <f t="shared" si="183"/>
        <v>#DIV/0!</v>
      </c>
      <c r="EG112" s="68" t="e">
        <f t="shared" si="184"/>
        <v>#DIV/0!</v>
      </c>
      <c r="EH112" s="68" t="e">
        <f t="shared" si="124"/>
        <v>#DIV/0!</v>
      </c>
      <c r="EI112" s="68" t="e">
        <f t="shared" si="185"/>
        <v>#DIV/0!</v>
      </c>
      <c r="EJ112" s="68" t="e">
        <f t="shared" si="186"/>
        <v>#DIV/0!</v>
      </c>
      <c r="EK112" s="68" t="e">
        <f t="shared" si="187"/>
        <v>#DIV/0!</v>
      </c>
      <c r="EL112" s="68" t="e">
        <f t="shared" si="188"/>
        <v>#DIV/0!</v>
      </c>
      <c r="EM112" s="68" t="e">
        <f t="shared" si="189"/>
        <v>#DIV/0!</v>
      </c>
      <c r="EN112" s="68" t="e">
        <f t="shared" si="190"/>
        <v>#DIV/0!</v>
      </c>
      <c r="EO112" s="68" t="e">
        <f t="shared" si="191"/>
        <v>#DIV/0!</v>
      </c>
      <c r="EP112" s="68" t="e">
        <f t="shared" si="192"/>
        <v>#DIV/0!</v>
      </c>
      <c r="EQ112" s="68" t="e">
        <f t="shared" si="193"/>
        <v>#DIV/0!</v>
      </c>
      <c r="ER112" s="68" t="e">
        <f t="shared" si="134"/>
        <v>#DIV/0!</v>
      </c>
    </row>
    <row r="113" spans="82:148" x14ac:dyDescent="0.25">
      <c r="CD113" s="68" t="s">
        <v>636</v>
      </c>
      <c r="CE113" s="69">
        <f t="shared" si="72"/>
        <v>260330.3</v>
      </c>
      <c r="CF113" s="69">
        <f t="shared" si="73"/>
        <v>800803.59</v>
      </c>
      <c r="CG113" s="70">
        <f t="shared" si="138"/>
        <v>270</v>
      </c>
      <c r="CH113" s="69">
        <f t="shared" si="194"/>
        <v>260330.30001199999</v>
      </c>
      <c r="CI113" s="69">
        <f t="shared" si="195"/>
        <v>800803.59001599997</v>
      </c>
      <c r="CJ113" s="68">
        <f t="shared" si="139"/>
        <v>26.05841667</v>
      </c>
      <c r="CK113" s="68">
        <f t="shared" si="140"/>
        <v>80.134330559999995</v>
      </c>
      <c r="CL113" s="68">
        <f t="shared" si="141"/>
        <v>26.05841667</v>
      </c>
      <c r="CM113" s="68">
        <f t="shared" si="142"/>
        <v>80.134330559999995</v>
      </c>
      <c r="CN113" s="68">
        <f t="shared" si="143"/>
        <v>0</v>
      </c>
      <c r="CO113" s="68">
        <f t="shared" si="144"/>
        <v>0</v>
      </c>
      <c r="CP113" s="68">
        <f t="shared" si="145"/>
        <v>0.43928729614546391</v>
      </c>
      <c r="CQ113" s="68">
        <f t="shared" si="146"/>
        <v>1.0027157713556663</v>
      </c>
      <c r="CR113" s="68">
        <f t="shared" si="147"/>
        <v>0</v>
      </c>
      <c r="CS113" s="68">
        <f t="shared" si="148"/>
        <v>0.48899531699999998</v>
      </c>
      <c r="CT113" s="68">
        <f t="shared" si="84"/>
        <v>0.23911642</v>
      </c>
      <c r="CU113" s="68">
        <f t="shared" si="149"/>
        <v>0</v>
      </c>
      <c r="CV113" s="68">
        <f t="shared" si="150"/>
        <v>0</v>
      </c>
      <c r="CW113" s="68">
        <f t="shared" si="151"/>
        <v>0</v>
      </c>
      <c r="CX113" s="68">
        <f t="shared" si="152"/>
        <v>0</v>
      </c>
      <c r="CY113" s="68">
        <f t="shared" si="153"/>
        <v>0</v>
      </c>
      <c r="CZ113" s="68" t="e">
        <f t="shared" si="154"/>
        <v>#DIV/0!</v>
      </c>
      <c r="DA113" s="68" t="e">
        <f t="shared" si="155"/>
        <v>#DIV/0!</v>
      </c>
      <c r="DB113" s="68" t="e">
        <f t="shared" si="156"/>
        <v>#DIV/0!</v>
      </c>
      <c r="DC113" s="68" t="e">
        <f t="shared" si="157"/>
        <v>#DIV/0!</v>
      </c>
      <c r="DD113" s="68" t="e">
        <f t="shared" si="158"/>
        <v>#DIV/0!</v>
      </c>
      <c r="DE113" s="68" t="e">
        <f t="shared" si="159"/>
        <v>#DIV/0!</v>
      </c>
      <c r="DF113" s="68" t="e">
        <f t="shared" si="96"/>
        <v>#DIV/0!</v>
      </c>
      <c r="DG113" s="68">
        <f t="shared" si="160"/>
        <v>0.45480516874807669</v>
      </c>
      <c r="DH113" s="68">
        <f t="shared" si="161"/>
        <v>1.3986079121535113</v>
      </c>
      <c r="DI113" s="68">
        <f t="shared" si="162"/>
        <v>4.7123889803846897</v>
      </c>
      <c r="DJ113" s="68" t="e">
        <f t="shared" si="163"/>
        <v>#DIV/0!</v>
      </c>
      <c r="DK113" s="68" t="e">
        <f t="shared" si="164"/>
        <v>#DIV/0!</v>
      </c>
      <c r="DL113" s="68" t="e">
        <f t="shared" si="165"/>
        <v>#DIV/0!</v>
      </c>
      <c r="DM113" s="68" t="e">
        <f t="shared" si="166"/>
        <v>#DIV/0!</v>
      </c>
      <c r="DN113" s="68" t="e">
        <f t="shared" si="167"/>
        <v>#DIV/0!</v>
      </c>
      <c r="DO113" s="68" t="e">
        <f t="shared" si="168"/>
        <v>#DIV/0!</v>
      </c>
      <c r="DP113" s="68" t="e">
        <f t="shared" si="169"/>
        <v>#DIV/0!</v>
      </c>
      <c r="DQ113" s="68" t="e">
        <f t="shared" si="170"/>
        <v>#DIV/0!</v>
      </c>
      <c r="DR113" s="68" t="e">
        <f t="shared" si="171"/>
        <v>#DIV/0!</v>
      </c>
      <c r="DS113" s="68" t="e">
        <f t="shared" si="172"/>
        <v>#DIV/0!</v>
      </c>
      <c r="DT113" s="68" t="e">
        <f t="shared" si="173"/>
        <v>#DIV/0!</v>
      </c>
      <c r="DU113" s="68" t="e">
        <f t="shared" si="111"/>
        <v>#DIV/0!</v>
      </c>
      <c r="DV113" s="68" t="e">
        <f t="shared" si="174"/>
        <v>#DIV/0!</v>
      </c>
      <c r="DW113" s="68" t="e">
        <f t="shared" si="113"/>
        <v>#DIV/0!</v>
      </c>
      <c r="DX113" s="68">
        <f t="shared" si="175"/>
        <v>26.05841667</v>
      </c>
      <c r="DY113" s="68">
        <f t="shared" si="176"/>
        <v>80.134330559999995</v>
      </c>
      <c r="DZ113" s="68" t="e">
        <f t="shared" si="177"/>
        <v>#DIV/0!</v>
      </c>
      <c r="EA113" s="68" t="e">
        <f t="shared" si="178"/>
        <v>#DIV/0!</v>
      </c>
      <c r="EB113" s="68" t="e">
        <f t="shared" si="179"/>
        <v>#DIV/0!</v>
      </c>
      <c r="EC113" s="68" t="e">
        <f t="shared" si="180"/>
        <v>#DIV/0!</v>
      </c>
      <c r="ED113" s="68" t="e">
        <f t="shared" si="181"/>
        <v>#DIV/0!</v>
      </c>
      <c r="EE113" s="68" t="e">
        <f t="shared" si="182"/>
        <v>#DIV/0!</v>
      </c>
      <c r="EF113" s="68" t="e">
        <f t="shared" si="183"/>
        <v>#DIV/0!</v>
      </c>
      <c r="EG113" s="68" t="e">
        <f t="shared" si="184"/>
        <v>#DIV/0!</v>
      </c>
      <c r="EH113" s="68" t="e">
        <f t="shared" si="124"/>
        <v>#DIV/0!</v>
      </c>
      <c r="EI113" s="68" t="e">
        <f t="shared" si="185"/>
        <v>#DIV/0!</v>
      </c>
      <c r="EJ113" s="68" t="e">
        <f t="shared" si="186"/>
        <v>#DIV/0!</v>
      </c>
      <c r="EK113" s="68" t="e">
        <f t="shared" si="187"/>
        <v>#DIV/0!</v>
      </c>
      <c r="EL113" s="68" t="e">
        <f t="shared" si="188"/>
        <v>#DIV/0!</v>
      </c>
      <c r="EM113" s="68" t="e">
        <f t="shared" si="189"/>
        <v>#DIV/0!</v>
      </c>
      <c r="EN113" s="68" t="e">
        <f t="shared" si="190"/>
        <v>#DIV/0!</v>
      </c>
      <c r="EO113" s="68" t="e">
        <f t="shared" si="191"/>
        <v>#DIV/0!</v>
      </c>
      <c r="EP113" s="68" t="e">
        <f t="shared" si="192"/>
        <v>#DIV/0!</v>
      </c>
      <c r="EQ113" s="68" t="e">
        <f t="shared" si="193"/>
        <v>#DIV/0!</v>
      </c>
      <c r="ER113" s="68" t="e">
        <f t="shared" si="134"/>
        <v>#DIV/0!</v>
      </c>
    </row>
    <row r="114" spans="82:148" x14ac:dyDescent="0.25">
      <c r="CD114" s="68" t="s">
        <v>637</v>
      </c>
      <c r="CE114" s="69">
        <f t="shared" si="72"/>
        <v>260330.3</v>
      </c>
      <c r="CF114" s="69">
        <f t="shared" si="73"/>
        <v>800803.59</v>
      </c>
      <c r="CG114" s="70">
        <f t="shared" si="138"/>
        <v>270</v>
      </c>
      <c r="CH114" s="69">
        <f t="shared" si="194"/>
        <v>260330.30001199999</v>
      </c>
      <c r="CI114" s="69">
        <f t="shared" si="195"/>
        <v>800803.59001599997</v>
      </c>
      <c r="CJ114" s="68">
        <f t="shared" si="139"/>
        <v>26.05841667</v>
      </c>
      <c r="CK114" s="68">
        <f t="shared" si="140"/>
        <v>80.134330559999995</v>
      </c>
      <c r="CL114" s="68">
        <f t="shared" si="141"/>
        <v>26.05841667</v>
      </c>
      <c r="CM114" s="68">
        <f t="shared" si="142"/>
        <v>80.134330559999995</v>
      </c>
      <c r="CN114" s="68">
        <f t="shared" si="143"/>
        <v>0</v>
      </c>
      <c r="CO114" s="68">
        <f t="shared" si="144"/>
        <v>0</v>
      </c>
      <c r="CP114" s="68">
        <f t="shared" si="145"/>
        <v>0.43928729614546391</v>
      </c>
      <c r="CQ114" s="68">
        <f t="shared" si="146"/>
        <v>1.0027157713556663</v>
      </c>
      <c r="CR114" s="68">
        <f t="shared" si="147"/>
        <v>0</v>
      </c>
      <c r="CS114" s="68">
        <f t="shared" si="148"/>
        <v>0.48899531699999998</v>
      </c>
      <c r="CT114" s="68">
        <f t="shared" si="84"/>
        <v>0.23911642</v>
      </c>
      <c r="CU114" s="68">
        <f t="shared" si="149"/>
        <v>0</v>
      </c>
      <c r="CV114" s="68">
        <f t="shared" si="150"/>
        <v>0</v>
      </c>
      <c r="CW114" s="68">
        <f t="shared" si="151"/>
        <v>0</v>
      </c>
      <c r="CX114" s="68">
        <f t="shared" si="152"/>
        <v>0</v>
      </c>
      <c r="CY114" s="68">
        <f t="shared" si="153"/>
        <v>0</v>
      </c>
      <c r="CZ114" s="68" t="e">
        <f t="shared" si="154"/>
        <v>#DIV/0!</v>
      </c>
      <c r="DA114" s="68" t="e">
        <f t="shared" si="155"/>
        <v>#DIV/0!</v>
      </c>
      <c r="DB114" s="68" t="e">
        <f t="shared" si="156"/>
        <v>#DIV/0!</v>
      </c>
      <c r="DC114" s="68" t="e">
        <f t="shared" si="157"/>
        <v>#DIV/0!</v>
      </c>
      <c r="DD114" s="68" t="e">
        <f t="shared" si="158"/>
        <v>#DIV/0!</v>
      </c>
      <c r="DE114" s="68" t="e">
        <f t="shared" si="159"/>
        <v>#DIV/0!</v>
      </c>
      <c r="DF114" s="68" t="e">
        <f t="shared" si="96"/>
        <v>#DIV/0!</v>
      </c>
      <c r="DG114" s="68">
        <f t="shared" si="160"/>
        <v>0.45480516874807669</v>
      </c>
      <c r="DH114" s="68">
        <f t="shared" si="161"/>
        <v>1.3986079121535113</v>
      </c>
      <c r="DI114" s="68">
        <f t="shared" si="162"/>
        <v>4.7123889803846897</v>
      </c>
      <c r="DJ114" s="68" t="e">
        <f t="shared" si="163"/>
        <v>#DIV/0!</v>
      </c>
      <c r="DK114" s="68" t="e">
        <f t="shared" si="164"/>
        <v>#DIV/0!</v>
      </c>
      <c r="DL114" s="68" t="e">
        <f t="shared" si="165"/>
        <v>#DIV/0!</v>
      </c>
      <c r="DM114" s="68" t="e">
        <f t="shared" si="166"/>
        <v>#DIV/0!</v>
      </c>
      <c r="DN114" s="68" t="e">
        <f t="shared" si="167"/>
        <v>#DIV/0!</v>
      </c>
      <c r="DO114" s="68" t="e">
        <f t="shared" si="168"/>
        <v>#DIV/0!</v>
      </c>
      <c r="DP114" s="68" t="e">
        <f t="shared" si="169"/>
        <v>#DIV/0!</v>
      </c>
      <c r="DQ114" s="68" t="e">
        <f t="shared" si="170"/>
        <v>#DIV/0!</v>
      </c>
      <c r="DR114" s="68" t="e">
        <f t="shared" si="171"/>
        <v>#DIV/0!</v>
      </c>
      <c r="DS114" s="68" t="e">
        <f t="shared" si="172"/>
        <v>#DIV/0!</v>
      </c>
      <c r="DT114" s="68" t="e">
        <f t="shared" si="173"/>
        <v>#DIV/0!</v>
      </c>
      <c r="DU114" s="68" t="e">
        <f t="shared" si="111"/>
        <v>#DIV/0!</v>
      </c>
      <c r="DV114" s="68" t="e">
        <f t="shared" si="174"/>
        <v>#DIV/0!</v>
      </c>
      <c r="DW114" s="68" t="e">
        <f t="shared" si="113"/>
        <v>#DIV/0!</v>
      </c>
      <c r="DX114" s="68">
        <f t="shared" si="175"/>
        <v>26.05841667</v>
      </c>
      <c r="DY114" s="68">
        <f t="shared" si="176"/>
        <v>80.134330559999995</v>
      </c>
      <c r="DZ114" s="68" t="e">
        <f t="shared" si="177"/>
        <v>#DIV/0!</v>
      </c>
      <c r="EA114" s="68" t="e">
        <f t="shared" si="178"/>
        <v>#DIV/0!</v>
      </c>
      <c r="EB114" s="68" t="e">
        <f t="shared" si="179"/>
        <v>#DIV/0!</v>
      </c>
      <c r="EC114" s="68" t="e">
        <f t="shared" si="180"/>
        <v>#DIV/0!</v>
      </c>
      <c r="ED114" s="68" t="e">
        <f t="shared" si="181"/>
        <v>#DIV/0!</v>
      </c>
      <c r="EE114" s="68" t="e">
        <f t="shared" si="182"/>
        <v>#DIV/0!</v>
      </c>
      <c r="EF114" s="68" t="e">
        <f t="shared" si="183"/>
        <v>#DIV/0!</v>
      </c>
      <c r="EG114" s="68" t="e">
        <f t="shared" si="184"/>
        <v>#DIV/0!</v>
      </c>
      <c r="EH114" s="68" t="e">
        <f t="shared" si="124"/>
        <v>#DIV/0!</v>
      </c>
      <c r="EI114" s="68" t="e">
        <f t="shared" si="185"/>
        <v>#DIV/0!</v>
      </c>
      <c r="EJ114" s="68" t="e">
        <f t="shared" si="186"/>
        <v>#DIV/0!</v>
      </c>
      <c r="EK114" s="68" t="e">
        <f t="shared" si="187"/>
        <v>#DIV/0!</v>
      </c>
      <c r="EL114" s="68" t="e">
        <f t="shared" si="188"/>
        <v>#DIV/0!</v>
      </c>
      <c r="EM114" s="68" t="e">
        <f t="shared" si="189"/>
        <v>#DIV/0!</v>
      </c>
      <c r="EN114" s="68" t="e">
        <f t="shared" si="190"/>
        <v>#DIV/0!</v>
      </c>
      <c r="EO114" s="68" t="e">
        <f t="shared" si="191"/>
        <v>#DIV/0!</v>
      </c>
      <c r="EP114" s="68" t="e">
        <f t="shared" si="192"/>
        <v>#DIV/0!</v>
      </c>
      <c r="EQ114" s="68" t="e">
        <f t="shared" si="193"/>
        <v>#DIV/0!</v>
      </c>
      <c r="ER114" s="68" t="e">
        <f t="shared" si="134"/>
        <v>#DIV/0!</v>
      </c>
    </row>
    <row r="115" spans="82:148" x14ac:dyDescent="0.25">
      <c r="CD115" s="68" t="s">
        <v>638</v>
      </c>
      <c r="CE115" s="69">
        <f t="shared" si="72"/>
        <v>260330.3</v>
      </c>
      <c r="CF115" s="69">
        <f t="shared" si="73"/>
        <v>800803.59</v>
      </c>
      <c r="CG115" s="70">
        <f t="shared" si="138"/>
        <v>270</v>
      </c>
      <c r="CH115" s="69">
        <f t="shared" si="194"/>
        <v>260330.30001199999</v>
      </c>
      <c r="CI115" s="69">
        <f t="shared" si="195"/>
        <v>800803.59001599997</v>
      </c>
      <c r="CJ115" s="68">
        <f t="shared" si="139"/>
        <v>26.05841667</v>
      </c>
      <c r="CK115" s="68">
        <f t="shared" si="140"/>
        <v>80.134330559999995</v>
      </c>
      <c r="CL115" s="68">
        <f t="shared" si="141"/>
        <v>26.05841667</v>
      </c>
      <c r="CM115" s="68">
        <f t="shared" si="142"/>
        <v>80.134330559999995</v>
      </c>
      <c r="CN115" s="68">
        <f t="shared" si="143"/>
        <v>0</v>
      </c>
      <c r="CO115" s="68">
        <f t="shared" si="144"/>
        <v>0</v>
      </c>
      <c r="CP115" s="68">
        <f t="shared" si="145"/>
        <v>0.43928729614546391</v>
      </c>
      <c r="CQ115" s="68">
        <f t="shared" si="146"/>
        <v>1.0027157713556663</v>
      </c>
      <c r="CR115" s="68">
        <f t="shared" si="147"/>
        <v>0</v>
      </c>
      <c r="CS115" s="68">
        <f t="shared" si="148"/>
        <v>0.48899531699999998</v>
      </c>
      <c r="CT115" s="68">
        <f t="shared" si="84"/>
        <v>0.23911642</v>
      </c>
      <c r="CU115" s="68">
        <f t="shared" si="149"/>
        <v>0</v>
      </c>
      <c r="CV115" s="68">
        <f t="shared" si="150"/>
        <v>0</v>
      </c>
      <c r="CW115" s="68">
        <f t="shared" si="151"/>
        <v>0</v>
      </c>
      <c r="CX115" s="68">
        <f t="shared" si="152"/>
        <v>0</v>
      </c>
      <c r="CY115" s="68">
        <f t="shared" si="153"/>
        <v>0</v>
      </c>
      <c r="CZ115" s="68" t="e">
        <f t="shared" si="154"/>
        <v>#DIV/0!</v>
      </c>
      <c r="DA115" s="68" t="e">
        <f t="shared" si="155"/>
        <v>#DIV/0!</v>
      </c>
      <c r="DB115" s="68" t="e">
        <f t="shared" si="156"/>
        <v>#DIV/0!</v>
      </c>
      <c r="DC115" s="68" t="e">
        <f t="shared" si="157"/>
        <v>#DIV/0!</v>
      </c>
      <c r="DD115" s="68" t="e">
        <f t="shared" si="158"/>
        <v>#DIV/0!</v>
      </c>
      <c r="DE115" s="68" t="e">
        <f t="shared" si="159"/>
        <v>#DIV/0!</v>
      </c>
      <c r="DF115" s="68" t="e">
        <f t="shared" si="96"/>
        <v>#DIV/0!</v>
      </c>
      <c r="DG115" s="68">
        <f t="shared" si="160"/>
        <v>0.45480516874807669</v>
      </c>
      <c r="DH115" s="68">
        <f t="shared" si="161"/>
        <v>1.3986079121535113</v>
      </c>
      <c r="DI115" s="68">
        <f t="shared" si="162"/>
        <v>4.7123889803846897</v>
      </c>
      <c r="DJ115" s="68" t="e">
        <f t="shared" si="163"/>
        <v>#DIV/0!</v>
      </c>
      <c r="DK115" s="68" t="e">
        <f t="shared" si="164"/>
        <v>#DIV/0!</v>
      </c>
      <c r="DL115" s="68" t="e">
        <f t="shared" si="165"/>
        <v>#DIV/0!</v>
      </c>
      <c r="DM115" s="68" t="e">
        <f t="shared" si="166"/>
        <v>#DIV/0!</v>
      </c>
      <c r="DN115" s="68" t="e">
        <f t="shared" si="167"/>
        <v>#DIV/0!</v>
      </c>
      <c r="DO115" s="68" t="e">
        <f t="shared" si="168"/>
        <v>#DIV/0!</v>
      </c>
      <c r="DP115" s="68" t="e">
        <f t="shared" si="169"/>
        <v>#DIV/0!</v>
      </c>
      <c r="DQ115" s="68" t="e">
        <f t="shared" si="170"/>
        <v>#DIV/0!</v>
      </c>
      <c r="DR115" s="68" t="e">
        <f t="shared" si="171"/>
        <v>#DIV/0!</v>
      </c>
      <c r="DS115" s="68" t="e">
        <f t="shared" si="172"/>
        <v>#DIV/0!</v>
      </c>
      <c r="DT115" s="68" t="e">
        <f t="shared" si="173"/>
        <v>#DIV/0!</v>
      </c>
      <c r="DU115" s="68" t="e">
        <f t="shared" si="111"/>
        <v>#DIV/0!</v>
      </c>
      <c r="DV115" s="68" t="e">
        <f t="shared" si="174"/>
        <v>#DIV/0!</v>
      </c>
      <c r="DW115" s="68" t="e">
        <f t="shared" si="113"/>
        <v>#DIV/0!</v>
      </c>
      <c r="DX115" s="68">
        <f t="shared" si="175"/>
        <v>26.05841667</v>
      </c>
      <c r="DY115" s="68">
        <f t="shared" si="176"/>
        <v>80.134330559999995</v>
      </c>
      <c r="DZ115" s="68" t="e">
        <f t="shared" si="177"/>
        <v>#DIV/0!</v>
      </c>
      <c r="EA115" s="68" t="e">
        <f t="shared" si="178"/>
        <v>#DIV/0!</v>
      </c>
      <c r="EB115" s="68" t="e">
        <f t="shared" si="179"/>
        <v>#DIV/0!</v>
      </c>
      <c r="EC115" s="68" t="e">
        <f t="shared" si="180"/>
        <v>#DIV/0!</v>
      </c>
      <c r="ED115" s="68" t="e">
        <f t="shared" si="181"/>
        <v>#DIV/0!</v>
      </c>
      <c r="EE115" s="68" t="e">
        <f t="shared" si="182"/>
        <v>#DIV/0!</v>
      </c>
      <c r="EF115" s="68" t="e">
        <f t="shared" si="183"/>
        <v>#DIV/0!</v>
      </c>
      <c r="EG115" s="68" t="e">
        <f t="shared" si="184"/>
        <v>#DIV/0!</v>
      </c>
      <c r="EH115" s="68" t="e">
        <f t="shared" si="124"/>
        <v>#DIV/0!</v>
      </c>
      <c r="EI115" s="68" t="e">
        <f t="shared" si="185"/>
        <v>#DIV/0!</v>
      </c>
      <c r="EJ115" s="68" t="e">
        <f t="shared" si="186"/>
        <v>#DIV/0!</v>
      </c>
      <c r="EK115" s="68" t="e">
        <f t="shared" si="187"/>
        <v>#DIV/0!</v>
      </c>
      <c r="EL115" s="68" t="e">
        <f t="shared" si="188"/>
        <v>#DIV/0!</v>
      </c>
      <c r="EM115" s="68" t="e">
        <f t="shared" si="189"/>
        <v>#DIV/0!</v>
      </c>
      <c r="EN115" s="68" t="e">
        <f t="shared" si="190"/>
        <v>#DIV/0!</v>
      </c>
      <c r="EO115" s="68" t="e">
        <f t="shared" si="191"/>
        <v>#DIV/0!</v>
      </c>
      <c r="EP115" s="68" t="e">
        <f t="shared" si="192"/>
        <v>#DIV/0!</v>
      </c>
      <c r="EQ115" s="68" t="e">
        <f t="shared" si="193"/>
        <v>#DIV/0!</v>
      </c>
      <c r="ER115" s="68" t="e">
        <f t="shared" si="134"/>
        <v>#DIV/0!</v>
      </c>
    </row>
    <row r="116" spans="82:148" x14ac:dyDescent="0.25">
      <c r="CD116" s="68" t="s">
        <v>639</v>
      </c>
      <c r="CE116" s="69">
        <f t="shared" si="72"/>
        <v>260330.3</v>
      </c>
      <c r="CF116" s="69">
        <f t="shared" si="73"/>
        <v>800803.59</v>
      </c>
      <c r="CG116" s="70">
        <f t="shared" si="138"/>
        <v>270</v>
      </c>
      <c r="CH116" s="69">
        <f t="shared" si="194"/>
        <v>260330.30001199999</v>
      </c>
      <c r="CI116" s="69">
        <f t="shared" si="195"/>
        <v>800803.59001599997</v>
      </c>
      <c r="CJ116" s="68">
        <f t="shared" si="139"/>
        <v>26.05841667</v>
      </c>
      <c r="CK116" s="68">
        <f t="shared" si="140"/>
        <v>80.134330559999995</v>
      </c>
      <c r="CL116" s="68">
        <f t="shared" si="141"/>
        <v>26.05841667</v>
      </c>
      <c r="CM116" s="68">
        <f t="shared" si="142"/>
        <v>80.134330559999995</v>
      </c>
      <c r="CN116" s="68">
        <f t="shared" si="143"/>
        <v>0</v>
      </c>
      <c r="CO116" s="68">
        <f t="shared" si="144"/>
        <v>0</v>
      </c>
      <c r="CP116" s="68">
        <f t="shared" si="145"/>
        <v>0.43928729614546391</v>
      </c>
      <c r="CQ116" s="68">
        <f t="shared" si="146"/>
        <v>1.0027157713556663</v>
      </c>
      <c r="CR116" s="68">
        <f t="shared" si="147"/>
        <v>0</v>
      </c>
      <c r="CS116" s="68">
        <f t="shared" si="148"/>
        <v>0.48899531699999998</v>
      </c>
      <c r="CT116" s="68">
        <f t="shared" si="84"/>
        <v>0.23911642</v>
      </c>
      <c r="CU116" s="68">
        <f t="shared" si="149"/>
        <v>0</v>
      </c>
      <c r="CV116" s="68">
        <f t="shared" si="150"/>
        <v>0</v>
      </c>
      <c r="CW116" s="68">
        <f t="shared" si="151"/>
        <v>0</v>
      </c>
      <c r="CX116" s="68">
        <f t="shared" si="152"/>
        <v>0</v>
      </c>
      <c r="CY116" s="68">
        <f t="shared" si="153"/>
        <v>0</v>
      </c>
      <c r="CZ116" s="68" t="e">
        <f t="shared" si="154"/>
        <v>#DIV/0!</v>
      </c>
      <c r="DA116" s="68" t="e">
        <f t="shared" si="155"/>
        <v>#DIV/0!</v>
      </c>
      <c r="DB116" s="68" t="e">
        <f t="shared" si="156"/>
        <v>#DIV/0!</v>
      </c>
      <c r="DC116" s="68" t="e">
        <f t="shared" si="157"/>
        <v>#DIV/0!</v>
      </c>
      <c r="DD116" s="68" t="e">
        <f t="shared" si="158"/>
        <v>#DIV/0!</v>
      </c>
      <c r="DE116" s="68" t="e">
        <f t="shared" si="159"/>
        <v>#DIV/0!</v>
      </c>
      <c r="DF116" s="68" t="e">
        <f t="shared" si="96"/>
        <v>#DIV/0!</v>
      </c>
      <c r="DG116" s="68">
        <f t="shared" si="160"/>
        <v>0.45480516874807669</v>
      </c>
      <c r="DH116" s="68">
        <f t="shared" si="161"/>
        <v>1.3986079121535113</v>
      </c>
      <c r="DI116" s="68">
        <f t="shared" si="162"/>
        <v>4.7123889803846897</v>
      </c>
      <c r="DJ116" s="68" t="e">
        <f t="shared" si="163"/>
        <v>#DIV/0!</v>
      </c>
      <c r="DK116" s="68" t="e">
        <f t="shared" si="164"/>
        <v>#DIV/0!</v>
      </c>
      <c r="DL116" s="68" t="e">
        <f t="shared" si="165"/>
        <v>#DIV/0!</v>
      </c>
      <c r="DM116" s="68" t="e">
        <f t="shared" si="166"/>
        <v>#DIV/0!</v>
      </c>
      <c r="DN116" s="68" t="e">
        <f t="shared" si="167"/>
        <v>#DIV/0!</v>
      </c>
      <c r="DO116" s="68" t="e">
        <f t="shared" si="168"/>
        <v>#DIV/0!</v>
      </c>
      <c r="DP116" s="68" t="e">
        <f t="shared" si="169"/>
        <v>#DIV/0!</v>
      </c>
      <c r="DQ116" s="68" t="e">
        <f t="shared" si="170"/>
        <v>#DIV/0!</v>
      </c>
      <c r="DR116" s="68" t="e">
        <f t="shared" si="171"/>
        <v>#DIV/0!</v>
      </c>
      <c r="DS116" s="68" t="e">
        <f t="shared" si="172"/>
        <v>#DIV/0!</v>
      </c>
      <c r="DT116" s="68" t="e">
        <f t="shared" si="173"/>
        <v>#DIV/0!</v>
      </c>
      <c r="DU116" s="68" t="e">
        <f t="shared" si="111"/>
        <v>#DIV/0!</v>
      </c>
      <c r="DV116" s="68" t="e">
        <f t="shared" si="174"/>
        <v>#DIV/0!</v>
      </c>
      <c r="DW116" s="68" t="e">
        <f t="shared" si="113"/>
        <v>#DIV/0!</v>
      </c>
      <c r="DX116" s="68">
        <f t="shared" si="175"/>
        <v>26.05841667</v>
      </c>
      <c r="DY116" s="68">
        <f t="shared" si="176"/>
        <v>80.134330559999995</v>
      </c>
      <c r="DZ116" s="68" t="e">
        <f t="shared" si="177"/>
        <v>#DIV/0!</v>
      </c>
      <c r="EA116" s="68" t="e">
        <f t="shared" si="178"/>
        <v>#DIV/0!</v>
      </c>
      <c r="EB116" s="68" t="e">
        <f t="shared" si="179"/>
        <v>#DIV/0!</v>
      </c>
      <c r="EC116" s="68" t="e">
        <f t="shared" si="180"/>
        <v>#DIV/0!</v>
      </c>
      <c r="ED116" s="68" t="e">
        <f t="shared" si="181"/>
        <v>#DIV/0!</v>
      </c>
      <c r="EE116" s="68" t="e">
        <f t="shared" si="182"/>
        <v>#DIV/0!</v>
      </c>
      <c r="EF116" s="68" t="e">
        <f t="shared" si="183"/>
        <v>#DIV/0!</v>
      </c>
      <c r="EG116" s="68" t="e">
        <f t="shared" si="184"/>
        <v>#DIV/0!</v>
      </c>
      <c r="EH116" s="68" t="e">
        <f t="shared" si="124"/>
        <v>#DIV/0!</v>
      </c>
      <c r="EI116" s="68" t="e">
        <f t="shared" si="185"/>
        <v>#DIV/0!</v>
      </c>
      <c r="EJ116" s="68" t="e">
        <f t="shared" si="186"/>
        <v>#DIV/0!</v>
      </c>
      <c r="EK116" s="68" t="e">
        <f t="shared" si="187"/>
        <v>#DIV/0!</v>
      </c>
      <c r="EL116" s="68" t="e">
        <f t="shared" si="188"/>
        <v>#DIV/0!</v>
      </c>
      <c r="EM116" s="68" t="e">
        <f t="shared" si="189"/>
        <v>#DIV/0!</v>
      </c>
      <c r="EN116" s="68" t="e">
        <f t="shared" si="190"/>
        <v>#DIV/0!</v>
      </c>
      <c r="EO116" s="68" t="e">
        <f t="shared" si="191"/>
        <v>#DIV/0!</v>
      </c>
      <c r="EP116" s="68" t="e">
        <f t="shared" si="192"/>
        <v>#DIV/0!</v>
      </c>
      <c r="EQ116" s="68" t="e">
        <f t="shared" si="193"/>
        <v>#DIV/0!</v>
      </c>
      <c r="ER116" s="68" t="e">
        <f t="shared" si="134"/>
        <v>#DIV/0!</v>
      </c>
    </row>
    <row r="117" spans="82:148" x14ac:dyDescent="0.25">
      <c r="CD117" s="68" t="s">
        <v>640</v>
      </c>
      <c r="CE117" s="69">
        <f t="shared" si="72"/>
        <v>260330.3</v>
      </c>
      <c r="CF117" s="69">
        <f t="shared" si="73"/>
        <v>800803.59</v>
      </c>
      <c r="CG117" s="70">
        <f t="shared" si="138"/>
        <v>270</v>
      </c>
      <c r="CH117" s="69">
        <f t="shared" si="194"/>
        <v>260330.30001199999</v>
      </c>
      <c r="CI117" s="69">
        <f t="shared" si="195"/>
        <v>800803.59001599997</v>
      </c>
      <c r="CJ117" s="68">
        <f t="shared" si="139"/>
        <v>26.05841667</v>
      </c>
      <c r="CK117" s="68">
        <f t="shared" si="140"/>
        <v>80.134330559999995</v>
      </c>
      <c r="CL117" s="68">
        <f t="shared" si="141"/>
        <v>26.05841667</v>
      </c>
      <c r="CM117" s="68">
        <f t="shared" si="142"/>
        <v>80.134330559999995</v>
      </c>
      <c r="CN117" s="68">
        <f t="shared" si="143"/>
        <v>0</v>
      </c>
      <c r="CO117" s="68">
        <f t="shared" si="144"/>
        <v>0</v>
      </c>
      <c r="CP117" s="68">
        <f t="shared" si="145"/>
        <v>0.43928729614546391</v>
      </c>
      <c r="CQ117" s="68">
        <f t="shared" si="146"/>
        <v>1.0027157713556663</v>
      </c>
      <c r="CR117" s="68">
        <f t="shared" si="147"/>
        <v>0</v>
      </c>
      <c r="CS117" s="68">
        <f t="shared" si="148"/>
        <v>0.48899531699999998</v>
      </c>
      <c r="CT117" s="68">
        <f t="shared" si="84"/>
        <v>0.23911642</v>
      </c>
      <c r="CU117" s="68">
        <f t="shared" si="149"/>
        <v>0</v>
      </c>
      <c r="CV117" s="68">
        <f t="shared" si="150"/>
        <v>0</v>
      </c>
      <c r="CW117" s="68">
        <f t="shared" si="151"/>
        <v>0</v>
      </c>
      <c r="CX117" s="68">
        <f t="shared" si="152"/>
        <v>0</v>
      </c>
      <c r="CY117" s="68">
        <f t="shared" si="153"/>
        <v>0</v>
      </c>
      <c r="CZ117" s="68" t="e">
        <f t="shared" si="154"/>
        <v>#DIV/0!</v>
      </c>
      <c r="DA117" s="68" t="e">
        <f t="shared" si="155"/>
        <v>#DIV/0!</v>
      </c>
      <c r="DB117" s="68" t="e">
        <f t="shared" si="156"/>
        <v>#DIV/0!</v>
      </c>
      <c r="DC117" s="68" t="e">
        <f t="shared" si="157"/>
        <v>#DIV/0!</v>
      </c>
      <c r="DD117" s="68" t="e">
        <f t="shared" si="158"/>
        <v>#DIV/0!</v>
      </c>
      <c r="DE117" s="68" t="e">
        <f t="shared" si="159"/>
        <v>#DIV/0!</v>
      </c>
      <c r="DF117" s="68" t="e">
        <f t="shared" si="96"/>
        <v>#DIV/0!</v>
      </c>
      <c r="DG117" s="68">
        <f t="shared" si="160"/>
        <v>0.45480516874807669</v>
      </c>
      <c r="DH117" s="68">
        <f t="shared" si="161"/>
        <v>1.3986079121535113</v>
      </c>
      <c r="DI117" s="68">
        <f t="shared" si="162"/>
        <v>4.7123889803846897</v>
      </c>
      <c r="DJ117" s="68" t="e">
        <f t="shared" si="163"/>
        <v>#DIV/0!</v>
      </c>
      <c r="DK117" s="68" t="e">
        <f t="shared" si="164"/>
        <v>#DIV/0!</v>
      </c>
      <c r="DL117" s="68" t="e">
        <f t="shared" si="165"/>
        <v>#DIV/0!</v>
      </c>
      <c r="DM117" s="68" t="e">
        <f t="shared" si="166"/>
        <v>#DIV/0!</v>
      </c>
      <c r="DN117" s="68" t="e">
        <f t="shared" si="167"/>
        <v>#DIV/0!</v>
      </c>
      <c r="DO117" s="68" t="e">
        <f t="shared" si="168"/>
        <v>#DIV/0!</v>
      </c>
      <c r="DP117" s="68" t="e">
        <f t="shared" si="169"/>
        <v>#DIV/0!</v>
      </c>
      <c r="DQ117" s="68" t="e">
        <f t="shared" si="170"/>
        <v>#DIV/0!</v>
      </c>
      <c r="DR117" s="68" t="e">
        <f t="shared" si="171"/>
        <v>#DIV/0!</v>
      </c>
      <c r="DS117" s="68" t="e">
        <f t="shared" si="172"/>
        <v>#DIV/0!</v>
      </c>
      <c r="DT117" s="68" t="e">
        <f t="shared" si="173"/>
        <v>#DIV/0!</v>
      </c>
      <c r="DU117" s="68" t="e">
        <f t="shared" si="111"/>
        <v>#DIV/0!</v>
      </c>
      <c r="DV117" s="68" t="e">
        <f t="shared" si="174"/>
        <v>#DIV/0!</v>
      </c>
      <c r="DW117" s="68" t="e">
        <f t="shared" si="113"/>
        <v>#DIV/0!</v>
      </c>
      <c r="DX117" s="68">
        <f t="shared" si="175"/>
        <v>26.05841667</v>
      </c>
      <c r="DY117" s="68">
        <f t="shared" si="176"/>
        <v>80.134330559999995</v>
      </c>
      <c r="DZ117" s="68" t="e">
        <f t="shared" si="177"/>
        <v>#DIV/0!</v>
      </c>
      <c r="EA117" s="68" t="e">
        <f t="shared" si="178"/>
        <v>#DIV/0!</v>
      </c>
      <c r="EB117" s="68" t="e">
        <f t="shared" si="179"/>
        <v>#DIV/0!</v>
      </c>
      <c r="EC117" s="68" t="e">
        <f t="shared" si="180"/>
        <v>#DIV/0!</v>
      </c>
      <c r="ED117" s="68" t="e">
        <f t="shared" si="181"/>
        <v>#DIV/0!</v>
      </c>
      <c r="EE117" s="68" t="e">
        <f t="shared" si="182"/>
        <v>#DIV/0!</v>
      </c>
      <c r="EF117" s="68" t="e">
        <f t="shared" si="183"/>
        <v>#DIV/0!</v>
      </c>
      <c r="EG117" s="68" t="e">
        <f t="shared" si="184"/>
        <v>#DIV/0!</v>
      </c>
      <c r="EH117" s="68" t="e">
        <f t="shared" si="124"/>
        <v>#DIV/0!</v>
      </c>
      <c r="EI117" s="68" t="e">
        <f t="shared" si="185"/>
        <v>#DIV/0!</v>
      </c>
      <c r="EJ117" s="68" t="e">
        <f t="shared" si="186"/>
        <v>#DIV/0!</v>
      </c>
      <c r="EK117" s="68" t="e">
        <f t="shared" si="187"/>
        <v>#DIV/0!</v>
      </c>
      <c r="EL117" s="68" t="e">
        <f t="shared" si="188"/>
        <v>#DIV/0!</v>
      </c>
      <c r="EM117" s="68" t="e">
        <f t="shared" si="189"/>
        <v>#DIV/0!</v>
      </c>
      <c r="EN117" s="68" t="e">
        <f t="shared" si="190"/>
        <v>#DIV/0!</v>
      </c>
      <c r="EO117" s="68" t="e">
        <f t="shared" si="191"/>
        <v>#DIV/0!</v>
      </c>
      <c r="EP117" s="68" t="e">
        <f t="shared" si="192"/>
        <v>#DIV/0!</v>
      </c>
      <c r="EQ117" s="68" t="e">
        <f t="shared" si="193"/>
        <v>#DIV/0!</v>
      </c>
      <c r="ER117" s="68" t="e">
        <f t="shared" si="134"/>
        <v>#DIV/0!</v>
      </c>
    </row>
    <row r="118" spans="82:148" x14ac:dyDescent="0.25">
      <c r="CD118" s="68" t="s">
        <v>641</v>
      </c>
      <c r="CE118" s="69">
        <f t="shared" si="72"/>
        <v>260330.3</v>
      </c>
      <c r="CF118" s="69">
        <f t="shared" si="73"/>
        <v>800803.59</v>
      </c>
      <c r="CG118" s="70">
        <f t="shared" si="138"/>
        <v>270</v>
      </c>
      <c r="CH118" s="69">
        <f t="shared" si="194"/>
        <v>260330.30001199999</v>
      </c>
      <c r="CI118" s="69">
        <f t="shared" si="195"/>
        <v>800803.59001599997</v>
      </c>
      <c r="CJ118" s="68">
        <f t="shared" si="139"/>
        <v>26.05841667</v>
      </c>
      <c r="CK118" s="68">
        <f t="shared" si="140"/>
        <v>80.134330559999995</v>
      </c>
      <c r="CL118" s="68">
        <f t="shared" si="141"/>
        <v>26.05841667</v>
      </c>
      <c r="CM118" s="68">
        <f t="shared" si="142"/>
        <v>80.134330559999995</v>
      </c>
      <c r="CN118" s="68">
        <f t="shared" si="143"/>
        <v>0</v>
      </c>
      <c r="CO118" s="68">
        <f t="shared" si="144"/>
        <v>0</v>
      </c>
      <c r="CP118" s="68">
        <f t="shared" si="145"/>
        <v>0.43928729614546391</v>
      </c>
      <c r="CQ118" s="68">
        <f t="shared" si="146"/>
        <v>1.0027157713556663</v>
      </c>
      <c r="CR118" s="68">
        <f t="shared" si="147"/>
        <v>0</v>
      </c>
      <c r="CS118" s="68">
        <f t="shared" si="148"/>
        <v>0.48899531699999998</v>
      </c>
      <c r="CT118" s="68">
        <f t="shared" si="84"/>
        <v>0.23911642</v>
      </c>
      <c r="CU118" s="68">
        <f t="shared" si="149"/>
        <v>0</v>
      </c>
      <c r="CV118" s="68">
        <f t="shared" si="150"/>
        <v>0</v>
      </c>
      <c r="CW118" s="68">
        <f t="shared" si="151"/>
        <v>0</v>
      </c>
      <c r="CX118" s="68">
        <f t="shared" si="152"/>
        <v>0</v>
      </c>
      <c r="CY118" s="68">
        <f t="shared" si="153"/>
        <v>0</v>
      </c>
      <c r="CZ118" s="68" t="e">
        <f t="shared" si="154"/>
        <v>#DIV/0!</v>
      </c>
      <c r="DA118" s="68" t="e">
        <f t="shared" si="155"/>
        <v>#DIV/0!</v>
      </c>
      <c r="DB118" s="68" t="e">
        <f t="shared" si="156"/>
        <v>#DIV/0!</v>
      </c>
      <c r="DC118" s="68" t="e">
        <f t="shared" si="157"/>
        <v>#DIV/0!</v>
      </c>
      <c r="DD118" s="68" t="e">
        <f t="shared" si="158"/>
        <v>#DIV/0!</v>
      </c>
      <c r="DE118" s="68" t="e">
        <f t="shared" si="159"/>
        <v>#DIV/0!</v>
      </c>
      <c r="DF118" s="68" t="e">
        <f t="shared" si="96"/>
        <v>#DIV/0!</v>
      </c>
      <c r="DG118" s="68">
        <f t="shared" si="160"/>
        <v>0.45480516874807669</v>
      </c>
      <c r="DH118" s="68">
        <f t="shared" si="161"/>
        <v>1.3986079121535113</v>
      </c>
      <c r="DI118" s="68">
        <f t="shared" si="162"/>
        <v>4.7123889803846897</v>
      </c>
      <c r="DJ118" s="68" t="e">
        <f t="shared" si="163"/>
        <v>#DIV/0!</v>
      </c>
      <c r="DK118" s="68" t="e">
        <f t="shared" si="164"/>
        <v>#DIV/0!</v>
      </c>
      <c r="DL118" s="68" t="e">
        <f t="shared" si="165"/>
        <v>#DIV/0!</v>
      </c>
      <c r="DM118" s="68" t="e">
        <f t="shared" si="166"/>
        <v>#DIV/0!</v>
      </c>
      <c r="DN118" s="68" t="e">
        <f t="shared" si="167"/>
        <v>#DIV/0!</v>
      </c>
      <c r="DO118" s="68" t="e">
        <f t="shared" si="168"/>
        <v>#DIV/0!</v>
      </c>
      <c r="DP118" s="68" t="e">
        <f t="shared" si="169"/>
        <v>#DIV/0!</v>
      </c>
      <c r="DQ118" s="68" t="e">
        <f t="shared" si="170"/>
        <v>#DIV/0!</v>
      </c>
      <c r="DR118" s="68" t="e">
        <f t="shared" si="171"/>
        <v>#DIV/0!</v>
      </c>
      <c r="DS118" s="68" t="e">
        <f t="shared" si="172"/>
        <v>#DIV/0!</v>
      </c>
      <c r="DT118" s="68" t="e">
        <f t="shared" si="173"/>
        <v>#DIV/0!</v>
      </c>
      <c r="DU118" s="68" t="e">
        <f t="shared" si="111"/>
        <v>#DIV/0!</v>
      </c>
      <c r="DV118" s="68" t="e">
        <f t="shared" si="174"/>
        <v>#DIV/0!</v>
      </c>
      <c r="DW118" s="68" t="e">
        <f t="shared" si="113"/>
        <v>#DIV/0!</v>
      </c>
      <c r="DX118" s="68">
        <f t="shared" si="175"/>
        <v>26.05841667</v>
      </c>
      <c r="DY118" s="68">
        <f t="shared" si="176"/>
        <v>80.134330559999995</v>
      </c>
      <c r="DZ118" s="68" t="e">
        <f t="shared" si="177"/>
        <v>#DIV/0!</v>
      </c>
      <c r="EA118" s="68" t="e">
        <f t="shared" si="178"/>
        <v>#DIV/0!</v>
      </c>
      <c r="EB118" s="68" t="e">
        <f t="shared" si="179"/>
        <v>#DIV/0!</v>
      </c>
      <c r="EC118" s="68" t="e">
        <f t="shared" si="180"/>
        <v>#DIV/0!</v>
      </c>
      <c r="ED118" s="68" t="e">
        <f t="shared" si="181"/>
        <v>#DIV/0!</v>
      </c>
      <c r="EE118" s="68" t="e">
        <f t="shared" si="182"/>
        <v>#DIV/0!</v>
      </c>
      <c r="EF118" s="68" t="e">
        <f t="shared" si="183"/>
        <v>#DIV/0!</v>
      </c>
      <c r="EG118" s="68" t="e">
        <f t="shared" si="184"/>
        <v>#DIV/0!</v>
      </c>
      <c r="EH118" s="68" t="e">
        <f t="shared" si="124"/>
        <v>#DIV/0!</v>
      </c>
      <c r="EI118" s="68" t="e">
        <f t="shared" si="185"/>
        <v>#DIV/0!</v>
      </c>
      <c r="EJ118" s="68" t="e">
        <f t="shared" si="186"/>
        <v>#DIV/0!</v>
      </c>
      <c r="EK118" s="68" t="e">
        <f t="shared" si="187"/>
        <v>#DIV/0!</v>
      </c>
      <c r="EL118" s="68" t="e">
        <f t="shared" si="188"/>
        <v>#DIV/0!</v>
      </c>
      <c r="EM118" s="68" t="e">
        <f t="shared" si="189"/>
        <v>#DIV/0!</v>
      </c>
      <c r="EN118" s="68" t="e">
        <f t="shared" si="190"/>
        <v>#DIV/0!</v>
      </c>
      <c r="EO118" s="68" t="e">
        <f t="shared" si="191"/>
        <v>#DIV/0!</v>
      </c>
      <c r="EP118" s="68" t="e">
        <f t="shared" si="192"/>
        <v>#DIV/0!</v>
      </c>
      <c r="EQ118" s="68" t="e">
        <f t="shared" si="193"/>
        <v>#DIV/0!</v>
      </c>
      <c r="ER118" s="68" t="e">
        <f t="shared" si="134"/>
        <v>#DIV/0!</v>
      </c>
    </row>
    <row r="119" spans="82:148" x14ac:dyDescent="0.25">
      <c r="CD119" s="68" t="s">
        <v>642</v>
      </c>
      <c r="CE119" s="69">
        <f t="shared" si="72"/>
        <v>260330.3</v>
      </c>
      <c r="CF119" s="69">
        <f t="shared" si="73"/>
        <v>800803.59</v>
      </c>
      <c r="CG119" s="70">
        <f t="shared" si="138"/>
        <v>270</v>
      </c>
      <c r="CH119" s="69">
        <f t="shared" si="194"/>
        <v>260330.30001199999</v>
      </c>
      <c r="CI119" s="69">
        <f t="shared" si="195"/>
        <v>800803.59001599997</v>
      </c>
      <c r="CJ119" s="68">
        <f t="shared" si="139"/>
        <v>26.05841667</v>
      </c>
      <c r="CK119" s="68">
        <f t="shared" si="140"/>
        <v>80.134330559999995</v>
      </c>
      <c r="CL119" s="68">
        <f t="shared" si="141"/>
        <v>26.05841667</v>
      </c>
      <c r="CM119" s="68">
        <f t="shared" si="142"/>
        <v>80.134330559999995</v>
      </c>
      <c r="CN119" s="68">
        <f t="shared" si="143"/>
        <v>0</v>
      </c>
      <c r="CO119" s="68">
        <f t="shared" si="144"/>
        <v>0</v>
      </c>
      <c r="CP119" s="68">
        <f t="shared" si="145"/>
        <v>0.43928729614546391</v>
      </c>
      <c r="CQ119" s="68">
        <f t="shared" si="146"/>
        <v>1.0027157713556663</v>
      </c>
      <c r="CR119" s="68">
        <f t="shared" si="147"/>
        <v>0</v>
      </c>
      <c r="CS119" s="68">
        <f t="shared" si="148"/>
        <v>0.48899531699999998</v>
      </c>
      <c r="CT119" s="68">
        <f t="shared" si="84"/>
        <v>0.23911642</v>
      </c>
      <c r="CU119" s="68">
        <f t="shared" si="149"/>
        <v>0</v>
      </c>
      <c r="CV119" s="68">
        <f t="shared" si="150"/>
        <v>0</v>
      </c>
      <c r="CW119" s="68">
        <f t="shared" si="151"/>
        <v>0</v>
      </c>
      <c r="CX119" s="68">
        <f t="shared" si="152"/>
        <v>0</v>
      </c>
      <c r="CY119" s="68">
        <f t="shared" si="153"/>
        <v>0</v>
      </c>
      <c r="CZ119" s="68" t="e">
        <f t="shared" si="154"/>
        <v>#DIV/0!</v>
      </c>
      <c r="DA119" s="68" t="e">
        <f t="shared" si="155"/>
        <v>#DIV/0!</v>
      </c>
      <c r="DB119" s="68" t="e">
        <f t="shared" si="156"/>
        <v>#DIV/0!</v>
      </c>
      <c r="DC119" s="68" t="e">
        <f t="shared" si="157"/>
        <v>#DIV/0!</v>
      </c>
      <c r="DD119" s="68" t="e">
        <f t="shared" si="158"/>
        <v>#DIV/0!</v>
      </c>
      <c r="DE119" s="68" t="e">
        <f t="shared" si="159"/>
        <v>#DIV/0!</v>
      </c>
      <c r="DF119" s="68" t="e">
        <f t="shared" si="96"/>
        <v>#DIV/0!</v>
      </c>
      <c r="DG119" s="68">
        <f t="shared" si="160"/>
        <v>0.45480516874807669</v>
      </c>
      <c r="DH119" s="68">
        <f t="shared" si="161"/>
        <v>1.3986079121535113</v>
      </c>
      <c r="DI119" s="68">
        <f t="shared" si="162"/>
        <v>4.7123889803846897</v>
      </c>
      <c r="DJ119" s="68" t="e">
        <f t="shared" si="163"/>
        <v>#DIV/0!</v>
      </c>
      <c r="DK119" s="68" t="e">
        <f t="shared" si="164"/>
        <v>#DIV/0!</v>
      </c>
      <c r="DL119" s="68" t="e">
        <f t="shared" si="165"/>
        <v>#DIV/0!</v>
      </c>
      <c r="DM119" s="68" t="e">
        <f t="shared" si="166"/>
        <v>#DIV/0!</v>
      </c>
      <c r="DN119" s="68" t="e">
        <f t="shared" si="167"/>
        <v>#DIV/0!</v>
      </c>
      <c r="DO119" s="68" t="e">
        <f t="shared" si="168"/>
        <v>#DIV/0!</v>
      </c>
      <c r="DP119" s="68" t="e">
        <f t="shared" si="169"/>
        <v>#DIV/0!</v>
      </c>
      <c r="DQ119" s="68" t="e">
        <f t="shared" si="170"/>
        <v>#DIV/0!</v>
      </c>
      <c r="DR119" s="68" t="e">
        <f t="shared" si="171"/>
        <v>#DIV/0!</v>
      </c>
      <c r="DS119" s="68" t="e">
        <f t="shared" si="172"/>
        <v>#DIV/0!</v>
      </c>
      <c r="DT119" s="68" t="e">
        <f t="shared" si="173"/>
        <v>#DIV/0!</v>
      </c>
      <c r="DU119" s="68" t="e">
        <f t="shared" si="111"/>
        <v>#DIV/0!</v>
      </c>
      <c r="DV119" s="68" t="e">
        <f t="shared" si="174"/>
        <v>#DIV/0!</v>
      </c>
      <c r="DW119" s="68" t="e">
        <f t="shared" si="113"/>
        <v>#DIV/0!</v>
      </c>
      <c r="DX119" s="68">
        <f t="shared" si="175"/>
        <v>26.05841667</v>
      </c>
      <c r="DY119" s="68">
        <f t="shared" si="176"/>
        <v>80.134330559999995</v>
      </c>
      <c r="DZ119" s="68" t="e">
        <f t="shared" si="177"/>
        <v>#DIV/0!</v>
      </c>
      <c r="EA119" s="68" t="e">
        <f t="shared" si="178"/>
        <v>#DIV/0!</v>
      </c>
      <c r="EB119" s="68" t="e">
        <f t="shared" si="179"/>
        <v>#DIV/0!</v>
      </c>
      <c r="EC119" s="68" t="e">
        <f t="shared" si="180"/>
        <v>#DIV/0!</v>
      </c>
      <c r="ED119" s="68" t="e">
        <f t="shared" si="181"/>
        <v>#DIV/0!</v>
      </c>
      <c r="EE119" s="68" t="e">
        <f t="shared" si="182"/>
        <v>#DIV/0!</v>
      </c>
      <c r="EF119" s="68" t="e">
        <f t="shared" si="183"/>
        <v>#DIV/0!</v>
      </c>
      <c r="EG119" s="68" t="e">
        <f t="shared" si="184"/>
        <v>#DIV/0!</v>
      </c>
      <c r="EH119" s="68" t="e">
        <f t="shared" si="124"/>
        <v>#DIV/0!</v>
      </c>
      <c r="EI119" s="68" t="e">
        <f t="shared" si="185"/>
        <v>#DIV/0!</v>
      </c>
      <c r="EJ119" s="68" t="e">
        <f t="shared" si="186"/>
        <v>#DIV/0!</v>
      </c>
      <c r="EK119" s="68" t="e">
        <f t="shared" si="187"/>
        <v>#DIV/0!</v>
      </c>
      <c r="EL119" s="68" t="e">
        <f t="shared" si="188"/>
        <v>#DIV/0!</v>
      </c>
      <c r="EM119" s="68" t="e">
        <f t="shared" si="189"/>
        <v>#DIV/0!</v>
      </c>
      <c r="EN119" s="68" t="e">
        <f t="shared" si="190"/>
        <v>#DIV/0!</v>
      </c>
      <c r="EO119" s="68" t="e">
        <f t="shared" si="191"/>
        <v>#DIV/0!</v>
      </c>
      <c r="EP119" s="68" t="e">
        <f t="shared" si="192"/>
        <v>#DIV/0!</v>
      </c>
      <c r="EQ119" s="68" t="e">
        <f t="shared" si="193"/>
        <v>#DIV/0!</v>
      </c>
      <c r="ER119" s="68" t="e">
        <f t="shared" si="134"/>
        <v>#DIV/0!</v>
      </c>
    </row>
    <row r="120" spans="82:148" x14ac:dyDescent="0.25">
      <c r="CD120" s="68" t="s">
        <v>643</v>
      </c>
      <c r="CE120" s="69">
        <f t="shared" si="72"/>
        <v>260330.3</v>
      </c>
      <c r="CF120" s="69">
        <f t="shared" si="73"/>
        <v>800803.59</v>
      </c>
      <c r="CG120" s="70">
        <f t="shared" si="138"/>
        <v>270</v>
      </c>
      <c r="CH120" s="69">
        <f t="shared" si="194"/>
        <v>260330.30001199999</v>
      </c>
      <c r="CI120" s="69">
        <f t="shared" si="195"/>
        <v>800803.59001599997</v>
      </c>
      <c r="CJ120" s="68">
        <f t="shared" si="139"/>
        <v>26.05841667</v>
      </c>
      <c r="CK120" s="68">
        <f t="shared" si="140"/>
        <v>80.134330559999995</v>
      </c>
      <c r="CL120" s="68">
        <f t="shared" si="141"/>
        <v>26.05841667</v>
      </c>
      <c r="CM120" s="68">
        <f t="shared" si="142"/>
        <v>80.134330559999995</v>
      </c>
      <c r="CN120" s="68">
        <f t="shared" si="143"/>
        <v>0</v>
      </c>
      <c r="CO120" s="68">
        <f t="shared" si="144"/>
        <v>0</v>
      </c>
      <c r="CP120" s="68">
        <f t="shared" si="145"/>
        <v>0.43928729614546391</v>
      </c>
      <c r="CQ120" s="68">
        <f t="shared" si="146"/>
        <v>1.0027157713556663</v>
      </c>
      <c r="CR120" s="68">
        <f t="shared" si="147"/>
        <v>0</v>
      </c>
      <c r="CS120" s="68">
        <f t="shared" si="148"/>
        <v>0.48899531699999998</v>
      </c>
      <c r="CT120" s="68">
        <f t="shared" si="84"/>
        <v>0.23911642</v>
      </c>
      <c r="CU120" s="68">
        <f t="shared" si="149"/>
        <v>0</v>
      </c>
      <c r="CV120" s="68">
        <f t="shared" si="150"/>
        <v>0</v>
      </c>
      <c r="CW120" s="68">
        <f t="shared" si="151"/>
        <v>0</v>
      </c>
      <c r="CX120" s="68">
        <f t="shared" si="152"/>
        <v>0</v>
      </c>
      <c r="CY120" s="68">
        <f t="shared" si="153"/>
        <v>0</v>
      </c>
      <c r="CZ120" s="68" t="e">
        <f t="shared" si="154"/>
        <v>#DIV/0!</v>
      </c>
      <c r="DA120" s="68" t="e">
        <f t="shared" si="155"/>
        <v>#DIV/0!</v>
      </c>
      <c r="DB120" s="68" t="e">
        <f t="shared" si="156"/>
        <v>#DIV/0!</v>
      </c>
      <c r="DC120" s="68" t="e">
        <f t="shared" si="157"/>
        <v>#DIV/0!</v>
      </c>
      <c r="DD120" s="68" t="e">
        <f t="shared" si="158"/>
        <v>#DIV/0!</v>
      </c>
      <c r="DE120" s="68" t="e">
        <f t="shared" si="159"/>
        <v>#DIV/0!</v>
      </c>
      <c r="DF120" s="68" t="e">
        <f t="shared" si="96"/>
        <v>#DIV/0!</v>
      </c>
      <c r="DG120" s="68">
        <f t="shared" si="160"/>
        <v>0.45480516874807669</v>
      </c>
      <c r="DH120" s="68">
        <f t="shared" si="161"/>
        <v>1.3986079121535113</v>
      </c>
      <c r="DI120" s="68">
        <f t="shared" si="162"/>
        <v>4.7123889803846897</v>
      </c>
      <c r="DJ120" s="68" t="e">
        <f t="shared" si="163"/>
        <v>#DIV/0!</v>
      </c>
      <c r="DK120" s="68" t="e">
        <f t="shared" si="164"/>
        <v>#DIV/0!</v>
      </c>
      <c r="DL120" s="68" t="e">
        <f t="shared" si="165"/>
        <v>#DIV/0!</v>
      </c>
      <c r="DM120" s="68" t="e">
        <f t="shared" si="166"/>
        <v>#DIV/0!</v>
      </c>
      <c r="DN120" s="68" t="e">
        <f t="shared" si="167"/>
        <v>#DIV/0!</v>
      </c>
      <c r="DO120" s="68" t="e">
        <f t="shared" si="168"/>
        <v>#DIV/0!</v>
      </c>
      <c r="DP120" s="68" t="e">
        <f t="shared" si="169"/>
        <v>#DIV/0!</v>
      </c>
      <c r="DQ120" s="68" t="e">
        <f t="shared" si="170"/>
        <v>#DIV/0!</v>
      </c>
      <c r="DR120" s="68" t="e">
        <f t="shared" si="171"/>
        <v>#DIV/0!</v>
      </c>
      <c r="DS120" s="68" t="e">
        <f t="shared" si="172"/>
        <v>#DIV/0!</v>
      </c>
      <c r="DT120" s="68" t="e">
        <f t="shared" si="173"/>
        <v>#DIV/0!</v>
      </c>
      <c r="DU120" s="68" t="e">
        <f t="shared" si="111"/>
        <v>#DIV/0!</v>
      </c>
      <c r="DV120" s="68" t="e">
        <f t="shared" si="174"/>
        <v>#DIV/0!</v>
      </c>
      <c r="DW120" s="68" t="e">
        <f t="shared" si="113"/>
        <v>#DIV/0!</v>
      </c>
      <c r="DX120" s="68">
        <f t="shared" si="175"/>
        <v>26.05841667</v>
      </c>
      <c r="DY120" s="68">
        <f t="shared" si="176"/>
        <v>80.134330559999995</v>
      </c>
      <c r="DZ120" s="68" t="e">
        <f t="shared" si="177"/>
        <v>#DIV/0!</v>
      </c>
      <c r="EA120" s="68" t="e">
        <f t="shared" si="178"/>
        <v>#DIV/0!</v>
      </c>
      <c r="EB120" s="68" t="e">
        <f t="shared" si="179"/>
        <v>#DIV/0!</v>
      </c>
      <c r="EC120" s="68" t="e">
        <f t="shared" si="180"/>
        <v>#DIV/0!</v>
      </c>
      <c r="ED120" s="68" t="e">
        <f t="shared" si="181"/>
        <v>#DIV/0!</v>
      </c>
      <c r="EE120" s="68" t="e">
        <f t="shared" si="182"/>
        <v>#DIV/0!</v>
      </c>
      <c r="EF120" s="68" t="e">
        <f t="shared" si="183"/>
        <v>#DIV/0!</v>
      </c>
      <c r="EG120" s="68" t="e">
        <f t="shared" si="184"/>
        <v>#DIV/0!</v>
      </c>
      <c r="EH120" s="68" t="e">
        <f t="shared" si="124"/>
        <v>#DIV/0!</v>
      </c>
      <c r="EI120" s="68" t="e">
        <f t="shared" si="185"/>
        <v>#DIV/0!</v>
      </c>
      <c r="EJ120" s="68" t="e">
        <f t="shared" si="186"/>
        <v>#DIV/0!</v>
      </c>
      <c r="EK120" s="68" t="e">
        <f t="shared" si="187"/>
        <v>#DIV/0!</v>
      </c>
      <c r="EL120" s="68" t="e">
        <f t="shared" si="188"/>
        <v>#DIV/0!</v>
      </c>
      <c r="EM120" s="68" t="e">
        <f t="shared" si="189"/>
        <v>#DIV/0!</v>
      </c>
      <c r="EN120" s="68" t="e">
        <f t="shared" si="190"/>
        <v>#DIV/0!</v>
      </c>
      <c r="EO120" s="68" t="e">
        <f t="shared" si="191"/>
        <v>#DIV/0!</v>
      </c>
      <c r="EP120" s="68" t="e">
        <f t="shared" si="192"/>
        <v>#DIV/0!</v>
      </c>
      <c r="EQ120" s="68" t="e">
        <f t="shared" si="193"/>
        <v>#DIV/0!</v>
      </c>
      <c r="ER120" s="68" t="e">
        <f t="shared" si="134"/>
        <v>#DIV/0!</v>
      </c>
    </row>
    <row r="121" spans="82:148" x14ac:dyDescent="0.25">
      <c r="CD121" s="68" t="s">
        <v>644</v>
      </c>
      <c r="CE121" s="69">
        <f t="shared" si="72"/>
        <v>260330.3</v>
      </c>
      <c r="CF121" s="69">
        <f t="shared" si="73"/>
        <v>800803.59</v>
      </c>
      <c r="CG121" s="70">
        <f t="shared" si="138"/>
        <v>270</v>
      </c>
      <c r="CH121" s="69">
        <f t="shared" si="194"/>
        <v>260330.30001199999</v>
      </c>
      <c r="CI121" s="69">
        <f t="shared" si="195"/>
        <v>800803.59001599997</v>
      </c>
      <c r="CJ121" s="68">
        <f t="shared" si="139"/>
        <v>26.05841667</v>
      </c>
      <c r="CK121" s="68">
        <f t="shared" si="140"/>
        <v>80.134330559999995</v>
      </c>
      <c r="CL121" s="68">
        <f t="shared" si="141"/>
        <v>26.05841667</v>
      </c>
      <c r="CM121" s="68">
        <f t="shared" si="142"/>
        <v>80.134330559999995</v>
      </c>
      <c r="CN121" s="68">
        <f t="shared" si="143"/>
        <v>0</v>
      </c>
      <c r="CO121" s="68">
        <f t="shared" si="144"/>
        <v>0</v>
      </c>
      <c r="CP121" s="68">
        <f t="shared" si="145"/>
        <v>0.43928729614546391</v>
      </c>
      <c r="CQ121" s="68">
        <f t="shared" si="146"/>
        <v>1.0027157713556663</v>
      </c>
      <c r="CR121" s="68">
        <f t="shared" si="147"/>
        <v>0</v>
      </c>
      <c r="CS121" s="68">
        <f t="shared" si="148"/>
        <v>0.48899531699999998</v>
      </c>
      <c r="CT121" s="68">
        <f t="shared" si="84"/>
        <v>0.23911642</v>
      </c>
      <c r="CU121" s="68">
        <f t="shared" si="149"/>
        <v>0</v>
      </c>
      <c r="CV121" s="68">
        <f t="shared" si="150"/>
        <v>0</v>
      </c>
      <c r="CW121" s="68">
        <f t="shared" si="151"/>
        <v>0</v>
      </c>
      <c r="CX121" s="68">
        <f t="shared" si="152"/>
        <v>0</v>
      </c>
      <c r="CY121" s="68">
        <f t="shared" si="153"/>
        <v>0</v>
      </c>
      <c r="CZ121" s="68" t="e">
        <f t="shared" si="154"/>
        <v>#DIV/0!</v>
      </c>
      <c r="DA121" s="68" t="e">
        <f t="shared" si="155"/>
        <v>#DIV/0!</v>
      </c>
      <c r="DB121" s="68" t="e">
        <f t="shared" si="156"/>
        <v>#DIV/0!</v>
      </c>
      <c r="DC121" s="68" t="e">
        <f t="shared" si="157"/>
        <v>#DIV/0!</v>
      </c>
      <c r="DD121" s="68" t="e">
        <f t="shared" si="158"/>
        <v>#DIV/0!</v>
      </c>
      <c r="DE121" s="68" t="e">
        <f t="shared" si="159"/>
        <v>#DIV/0!</v>
      </c>
      <c r="DF121" s="68" t="e">
        <f t="shared" si="96"/>
        <v>#DIV/0!</v>
      </c>
      <c r="DG121" s="68">
        <f t="shared" si="160"/>
        <v>0.45480516874807669</v>
      </c>
      <c r="DH121" s="68">
        <f t="shared" si="161"/>
        <v>1.3986079121535113</v>
      </c>
      <c r="DI121" s="68">
        <f t="shared" si="162"/>
        <v>4.7123889803846897</v>
      </c>
      <c r="DJ121" s="68" t="e">
        <f t="shared" si="163"/>
        <v>#DIV/0!</v>
      </c>
      <c r="DK121" s="68" t="e">
        <f t="shared" si="164"/>
        <v>#DIV/0!</v>
      </c>
      <c r="DL121" s="68" t="e">
        <f t="shared" si="165"/>
        <v>#DIV/0!</v>
      </c>
      <c r="DM121" s="68" t="e">
        <f t="shared" si="166"/>
        <v>#DIV/0!</v>
      </c>
      <c r="DN121" s="68" t="e">
        <f t="shared" si="167"/>
        <v>#DIV/0!</v>
      </c>
      <c r="DO121" s="68" t="e">
        <f t="shared" si="168"/>
        <v>#DIV/0!</v>
      </c>
      <c r="DP121" s="68" t="e">
        <f t="shared" si="169"/>
        <v>#DIV/0!</v>
      </c>
      <c r="DQ121" s="68" t="e">
        <f t="shared" si="170"/>
        <v>#DIV/0!</v>
      </c>
      <c r="DR121" s="68" t="e">
        <f t="shared" si="171"/>
        <v>#DIV/0!</v>
      </c>
      <c r="DS121" s="68" t="e">
        <f t="shared" si="172"/>
        <v>#DIV/0!</v>
      </c>
      <c r="DT121" s="68" t="e">
        <f t="shared" si="173"/>
        <v>#DIV/0!</v>
      </c>
      <c r="DU121" s="68" t="e">
        <f t="shared" si="111"/>
        <v>#DIV/0!</v>
      </c>
      <c r="DV121" s="68" t="e">
        <f t="shared" si="174"/>
        <v>#DIV/0!</v>
      </c>
      <c r="DW121" s="68" t="e">
        <f t="shared" si="113"/>
        <v>#DIV/0!</v>
      </c>
      <c r="DX121" s="68">
        <f t="shared" si="175"/>
        <v>26.05841667</v>
      </c>
      <c r="DY121" s="68">
        <f t="shared" si="176"/>
        <v>80.134330559999995</v>
      </c>
      <c r="DZ121" s="68" t="e">
        <f t="shared" si="177"/>
        <v>#DIV/0!</v>
      </c>
      <c r="EA121" s="68" t="e">
        <f t="shared" si="178"/>
        <v>#DIV/0!</v>
      </c>
      <c r="EB121" s="68" t="e">
        <f t="shared" si="179"/>
        <v>#DIV/0!</v>
      </c>
      <c r="EC121" s="68" t="e">
        <f t="shared" si="180"/>
        <v>#DIV/0!</v>
      </c>
      <c r="ED121" s="68" t="e">
        <f t="shared" si="181"/>
        <v>#DIV/0!</v>
      </c>
      <c r="EE121" s="68" t="e">
        <f t="shared" si="182"/>
        <v>#DIV/0!</v>
      </c>
      <c r="EF121" s="68" t="e">
        <f t="shared" si="183"/>
        <v>#DIV/0!</v>
      </c>
      <c r="EG121" s="68" t="e">
        <f t="shared" si="184"/>
        <v>#DIV/0!</v>
      </c>
      <c r="EH121" s="68" t="e">
        <f t="shared" si="124"/>
        <v>#DIV/0!</v>
      </c>
      <c r="EI121" s="68" t="e">
        <f t="shared" si="185"/>
        <v>#DIV/0!</v>
      </c>
      <c r="EJ121" s="68" t="e">
        <f t="shared" si="186"/>
        <v>#DIV/0!</v>
      </c>
      <c r="EK121" s="68" t="e">
        <f t="shared" si="187"/>
        <v>#DIV/0!</v>
      </c>
      <c r="EL121" s="68" t="e">
        <f t="shared" si="188"/>
        <v>#DIV/0!</v>
      </c>
      <c r="EM121" s="68" t="e">
        <f t="shared" si="189"/>
        <v>#DIV/0!</v>
      </c>
      <c r="EN121" s="68" t="e">
        <f t="shared" si="190"/>
        <v>#DIV/0!</v>
      </c>
      <c r="EO121" s="68" t="e">
        <f t="shared" si="191"/>
        <v>#DIV/0!</v>
      </c>
      <c r="EP121" s="68" t="e">
        <f t="shared" si="192"/>
        <v>#DIV/0!</v>
      </c>
      <c r="EQ121" s="68" t="e">
        <f t="shared" si="193"/>
        <v>#DIV/0!</v>
      </c>
      <c r="ER121" s="68" t="e">
        <f t="shared" si="134"/>
        <v>#DIV/0!</v>
      </c>
    </row>
    <row r="122" spans="82:148" x14ac:dyDescent="0.25">
      <c r="CD122" s="68" t="s">
        <v>645</v>
      </c>
      <c r="CE122" s="69">
        <f t="shared" ref="CE122:CE185" si="196">$C$2</f>
        <v>260330.3</v>
      </c>
      <c r="CF122" s="69">
        <f t="shared" ref="CF122:CF185" si="197">$C$3</f>
        <v>800803.59</v>
      </c>
      <c r="CG122" s="70">
        <f t="shared" si="138"/>
        <v>270</v>
      </c>
      <c r="CH122" s="69">
        <f t="shared" si="194"/>
        <v>260330.30001199999</v>
      </c>
      <c r="CI122" s="69">
        <f t="shared" si="195"/>
        <v>800803.59001599997</v>
      </c>
      <c r="CJ122" s="68">
        <f t="shared" si="139"/>
        <v>26.05841667</v>
      </c>
      <c r="CK122" s="68">
        <f t="shared" si="140"/>
        <v>80.134330559999995</v>
      </c>
      <c r="CL122" s="68">
        <f t="shared" si="141"/>
        <v>26.05841667</v>
      </c>
      <c r="CM122" s="68">
        <f t="shared" si="142"/>
        <v>80.134330559999995</v>
      </c>
      <c r="CN122" s="68">
        <f t="shared" si="143"/>
        <v>0</v>
      </c>
      <c r="CO122" s="68">
        <f t="shared" si="144"/>
        <v>0</v>
      </c>
      <c r="CP122" s="68">
        <f t="shared" si="145"/>
        <v>0.43928729614546391</v>
      </c>
      <c r="CQ122" s="68">
        <f t="shared" si="146"/>
        <v>1.0027157713556663</v>
      </c>
      <c r="CR122" s="68">
        <f t="shared" si="147"/>
        <v>0</v>
      </c>
      <c r="CS122" s="68">
        <f t="shared" si="148"/>
        <v>0.48899531699999998</v>
      </c>
      <c r="CT122" s="68">
        <f t="shared" ref="CT122:CT185" si="198">ROUND((CS122*CS122),9)</f>
        <v>0.23911642</v>
      </c>
      <c r="CU122" s="68">
        <f t="shared" si="149"/>
        <v>0</v>
      </c>
      <c r="CV122" s="68">
        <f t="shared" si="150"/>
        <v>0</v>
      </c>
      <c r="CW122" s="68">
        <f t="shared" si="151"/>
        <v>0</v>
      </c>
      <c r="CX122" s="68">
        <f t="shared" si="152"/>
        <v>0</v>
      </c>
      <c r="CY122" s="68">
        <f t="shared" si="153"/>
        <v>0</v>
      </c>
      <c r="CZ122" s="68" t="e">
        <f t="shared" si="154"/>
        <v>#DIV/0!</v>
      </c>
      <c r="DA122" s="68" t="e">
        <f t="shared" si="155"/>
        <v>#DIV/0!</v>
      </c>
      <c r="DB122" s="68" t="e">
        <f t="shared" si="156"/>
        <v>#DIV/0!</v>
      </c>
      <c r="DC122" s="68" t="e">
        <f t="shared" si="157"/>
        <v>#DIV/0!</v>
      </c>
      <c r="DD122" s="68" t="e">
        <f t="shared" si="158"/>
        <v>#DIV/0!</v>
      </c>
      <c r="DE122" s="68" t="e">
        <f t="shared" si="159"/>
        <v>#DIV/0!</v>
      </c>
      <c r="DF122" s="68" t="e">
        <f t="shared" ref="DF122:DF185" si="199">ROUND((DE122*6076.115489),3)</f>
        <v>#DIV/0!</v>
      </c>
      <c r="DG122" s="68">
        <f t="shared" si="160"/>
        <v>0.45480516874807669</v>
      </c>
      <c r="DH122" s="68">
        <f t="shared" si="161"/>
        <v>1.3986079121535113</v>
      </c>
      <c r="DI122" s="68">
        <f t="shared" si="162"/>
        <v>4.7123889803846897</v>
      </c>
      <c r="DJ122" s="68" t="e">
        <f t="shared" si="163"/>
        <v>#DIV/0!</v>
      </c>
      <c r="DK122" s="68" t="e">
        <f t="shared" si="164"/>
        <v>#DIV/0!</v>
      </c>
      <c r="DL122" s="68" t="e">
        <f t="shared" si="165"/>
        <v>#DIV/0!</v>
      </c>
      <c r="DM122" s="68" t="e">
        <f t="shared" si="166"/>
        <v>#DIV/0!</v>
      </c>
      <c r="DN122" s="68" t="e">
        <f t="shared" si="167"/>
        <v>#DIV/0!</v>
      </c>
      <c r="DO122" s="68" t="e">
        <f t="shared" si="168"/>
        <v>#DIV/0!</v>
      </c>
      <c r="DP122" s="68" t="e">
        <f t="shared" si="169"/>
        <v>#DIV/0!</v>
      </c>
      <c r="DQ122" s="68" t="e">
        <f t="shared" si="170"/>
        <v>#DIV/0!</v>
      </c>
      <c r="DR122" s="68" t="e">
        <f t="shared" si="171"/>
        <v>#DIV/0!</v>
      </c>
      <c r="DS122" s="68" t="e">
        <f t="shared" si="172"/>
        <v>#DIV/0!</v>
      </c>
      <c r="DT122" s="68" t="e">
        <f t="shared" si="173"/>
        <v>#DIV/0!</v>
      </c>
      <c r="DU122" s="68" t="e">
        <f t="shared" ref="DU122:DU185" si="200">(ROUND((((((DT122-(TRUNC(DT122)))*0.6)*100)-(TRUNC(((DT122-(TRUNC(DT122)))*0.6)*100)))*0.006)+(TRUNC(DT122)+((TRUNC(((DT122-(TRUNC(DT122)))*0.6)*100))/100)),6))*10000</f>
        <v>#DIV/0!</v>
      </c>
      <c r="DV122" s="68" t="e">
        <f t="shared" si="174"/>
        <v>#DIV/0!</v>
      </c>
      <c r="DW122" s="68" t="e">
        <f t="shared" ref="DW122:DW185" si="201">(ROUND((((((DV122-(TRUNC(DV122)))*0.6)*100)-(TRUNC(((DV122-(TRUNC(DV122)))*0.6)*100)))*0.006)+(TRUNC(DV122)+((TRUNC(((DV122-(TRUNC(DV122)))*0.6)*100))/100)),6))*10000</f>
        <v>#DIV/0!</v>
      </c>
      <c r="DX122" s="68">
        <f t="shared" si="175"/>
        <v>26.05841667</v>
      </c>
      <c r="DY122" s="68">
        <f t="shared" si="176"/>
        <v>80.134330559999995</v>
      </c>
      <c r="DZ122" s="68" t="e">
        <f t="shared" si="177"/>
        <v>#DIV/0!</v>
      </c>
      <c r="EA122" s="68" t="e">
        <f t="shared" si="178"/>
        <v>#DIV/0!</v>
      </c>
      <c r="EB122" s="68" t="e">
        <f t="shared" si="179"/>
        <v>#DIV/0!</v>
      </c>
      <c r="EC122" s="68" t="e">
        <f t="shared" si="180"/>
        <v>#DIV/0!</v>
      </c>
      <c r="ED122" s="68" t="e">
        <f t="shared" si="181"/>
        <v>#DIV/0!</v>
      </c>
      <c r="EE122" s="68" t="e">
        <f t="shared" si="182"/>
        <v>#DIV/0!</v>
      </c>
      <c r="EF122" s="68" t="e">
        <f t="shared" si="183"/>
        <v>#DIV/0!</v>
      </c>
      <c r="EG122" s="68" t="e">
        <f t="shared" si="184"/>
        <v>#DIV/0!</v>
      </c>
      <c r="EH122" s="68" t="e">
        <f t="shared" ref="EH122:EH185" si="202">(EG122*EG122)</f>
        <v>#DIV/0!</v>
      </c>
      <c r="EI122" s="68" t="e">
        <f t="shared" si="185"/>
        <v>#DIV/0!</v>
      </c>
      <c r="EJ122" s="68" t="e">
        <f t="shared" si="186"/>
        <v>#DIV/0!</v>
      </c>
      <c r="EK122" s="68" t="e">
        <f t="shared" si="187"/>
        <v>#DIV/0!</v>
      </c>
      <c r="EL122" s="68" t="e">
        <f t="shared" si="188"/>
        <v>#DIV/0!</v>
      </c>
      <c r="EM122" s="68" t="e">
        <f t="shared" si="189"/>
        <v>#DIV/0!</v>
      </c>
      <c r="EN122" s="68" t="e">
        <f t="shared" si="190"/>
        <v>#DIV/0!</v>
      </c>
      <c r="EO122" s="68" t="e">
        <f t="shared" si="191"/>
        <v>#DIV/0!</v>
      </c>
      <c r="EP122" s="68" t="e">
        <f t="shared" si="192"/>
        <v>#DIV/0!</v>
      </c>
      <c r="EQ122" s="68" t="e">
        <f t="shared" si="193"/>
        <v>#DIV/0!</v>
      </c>
      <c r="ER122" s="68" t="e">
        <f t="shared" ref="ER122:ER185" si="203">ROUND((EQ122*6076.115489),3)</f>
        <v>#DIV/0!</v>
      </c>
    </row>
    <row r="123" spans="82:148" x14ac:dyDescent="0.25">
      <c r="CD123" s="68" t="s">
        <v>646</v>
      </c>
      <c r="CE123" s="69">
        <f t="shared" si="196"/>
        <v>260330.3</v>
      </c>
      <c r="CF123" s="69">
        <f t="shared" si="197"/>
        <v>800803.59</v>
      </c>
      <c r="CG123" s="70">
        <f t="shared" si="138"/>
        <v>270</v>
      </c>
      <c r="CH123" s="69">
        <f t="shared" si="194"/>
        <v>260330.30001199999</v>
      </c>
      <c r="CI123" s="69">
        <f t="shared" si="195"/>
        <v>800803.59001599997</v>
      </c>
      <c r="CJ123" s="68">
        <f t="shared" si="139"/>
        <v>26.05841667</v>
      </c>
      <c r="CK123" s="68">
        <f t="shared" si="140"/>
        <v>80.134330559999995</v>
      </c>
      <c r="CL123" s="68">
        <f t="shared" si="141"/>
        <v>26.05841667</v>
      </c>
      <c r="CM123" s="68">
        <f t="shared" si="142"/>
        <v>80.134330559999995</v>
      </c>
      <c r="CN123" s="68">
        <f t="shared" si="143"/>
        <v>0</v>
      </c>
      <c r="CO123" s="68">
        <f t="shared" si="144"/>
        <v>0</v>
      </c>
      <c r="CP123" s="68">
        <f t="shared" si="145"/>
        <v>0.43928729614546391</v>
      </c>
      <c r="CQ123" s="68">
        <f t="shared" si="146"/>
        <v>1.0027157713556663</v>
      </c>
      <c r="CR123" s="68">
        <f t="shared" si="147"/>
        <v>0</v>
      </c>
      <c r="CS123" s="68">
        <f t="shared" si="148"/>
        <v>0.48899531699999998</v>
      </c>
      <c r="CT123" s="68">
        <f t="shared" si="198"/>
        <v>0.23911642</v>
      </c>
      <c r="CU123" s="68">
        <f t="shared" si="149"/>
        <v>0</v>
      </c>
      <c r="CV123" s="68">
        <f t="shared" si="150"/>
        <v>0</v>
      </c>
      <c r="CW123" s="68">
        <f t="shared" si="151"/>
        <v>0</v>
      </c>
      <c r="CX123" s="68">
        <f t="shared" si="152"/>
        <v>0</v>
      </c>
      <c r="CY123" s="68">
        <f t="shared" si="153"/>
        <v>0</v>
      </c>
      <c r="CZ123" s="68" t="e">
        <f t="shared" si="154"/>
        <v>#DIV/0!</v>
      </c>
      <c r="DA123" s="68" t="e">
        <f t="shared" si="155"/>
        <v>#DIV/0!</v>
      </c>
      <c r="DB123" s="68" t="e">
        <f t="shared" si="156"/>
        <v>#DIV/0!</v>
      </c>
      <c r="DC123" s="68" t="e">
        <f t="shared" si="157"/>
        <v>#DIV/0!</v>
      </c>
      <c r="DD123" s="68" t="e">
        <f t="shared" si="158"/>
        <v>#DIV/0!</v>
      </c>
      <c r="DE123" s="68" t="e">
        <f t="shared" si="159"/>
        <v>#DIV/0!</v>
      </c>
      <c r="DF123" s="68" t="e">
        <f t="shared" si="199"/>
        <v>#DIV/0!</v>
      </c>
      <c r="DG123" s="68">
        <f t="shared" si="160"/>
        <v>0.45480516874807669</v>
      </c>
      <c r="DH123" s="68">
        <f t="shared" si="161"/>
        <v>1.3986079121535113</v>
      </c>
      <c r="DI123" s="68">
        <f t="shared" si="162"/>
        <v>4.7123889803846897</v>
      </c>
      <c r="DJ123" s="68" t="e">
        <f t="shared" si="163"/>
        <v>#DIV/0!</v>
      </c>
      <c r="DK123" s="68" t="e">
        <f t="shared" si="164"/>
        <v>#DIV/0!</v>
      </c>
      <c r="DL123" s="68" t="e">
        <f t="shared" si="165"/>
        <v>#DIV/0!</v>
      </c>
      <c r="DM123" s="68" t="e">
        <f t="shared" si="166"/>
        <v>#DIV/0!</v>
      </c>
      <c r="DN123" s="68" t="e">
        <f t="shared" si="167"/>
        <v>#DIV/0!</v>
      </c>
      <c r="DO123" s="68" t="e">
        <f t="shared" si="168"/>
        <v>#DIV/0!</v>
      </c>
      <c r="DP123" s="68" t="e">
        <f t="shared" si="169"/>
        <v>#DIV/0!</v>
      </c>
      <c r="DQ123" s="68" t="e">
        <f t="shared" si="170"/>
        <v>#DIV/0!</v>
      </c>
      <c r="DR123" s="68" t="e">
        <f t="shared" si="171"/>
        <v>#DIV/0!</v>
      </c>
      <c r="DS123" s="68" t="e">
        <f t="shared" si="172"/>
        <v>#DIV/0!</v>
      </c>
      <c r="DT123" s="68" t="e">
        <f t="shared" si="173"/>
        <v>#DIV/0!</v>
      </c>
      <c r="DU123" s="68" t="e">
        <f t="shared" si="200"/>
        <v>#DIV/0!</v>
      </c>
      <c r="DV123" s="68" t="e">
        <f t="shared" si="174"/>
        <v>#DIV/0!</v>
      </c>
      <c r="DW123" s="68" t="e">
        <f t="shared" si="201"/>
        <v>#DIV/0!</v>
      </c>
      <c r="DX123" s="68">
        <f t="shared" si="175"/>
        <v>26.05841667</v>
      </c>
      <c r="DY123" s="68">
        <f t="shared" si="176"/>
        <v>80.134330559999995</v>
      </c>
      <c r="DZ123" s="68" t="e">
        <f t="shared" si="177"/>
        <v>#DIV/0!</v>
      </c>
      <c r="EA123" s="68" t="e">
        <f t="shared" si="178"/>
        <v>#DIV/0!</v>
      </c>
      <c r="EB123" s="68" t="e">
        <f t="shared" si="179"/>
        <v>#DIV/0!</v>
      </c>
      <c r="EC123" s="68" t="e">
        <f t="shared" si="180"/>
        <v>#DIV/0!</v>
      </c>
      <c r="ED123" s="68" t="e">
        <f t="shared" si="181"/>
        <v>#DIV/0!</v>
      </c>
      <c r="EE123" s="68" t="e">
        <f t="shared" si="182"/>
        <v>#DIV/0!</v>
      </c>
      <c r="EF123" s="68" t="e">
        <f t="shared" si="183"/>
        <v>#DIV/0!</v>
      </c>
      <c r="EG123" s="68" t="e">
        <f t="shared" si="184"/>
        <v>#DIV/0!</v>
      </c>
      <c r="EH123" s="68" t="e">
        <f t="shared" si="202"/>
        <v>#DIV/0!</v>
      </c>
      <c r="EI123" s="68" t="e">
        <f t="shared" si="185"/>
        <v>#DIV/0!</v>
      </c>
      <c r="EJ123" s="68" t="e">
        <f t="shared" si="186"/>
        <v>#DIV/0!</v>
      </c>
      <c r="EK123" s="68" t="e">
        <f t="shared" si="187"/>
        <v>#DIV/0!</v>
      </c>
      <c r="EL123" s="68" t="e">
        <f t="shared" si="188"/>
        <v>#DIV/0!</v>
      </c>
      <c r="EM123" s="68" t="e">
        <f t="shared" si="189"/>
        <v>#DIV/0!</v>
      </c>
      <c r="EN123" s="68" t="e">
        <f t="shared" si="190"/>
        <v>#DIV/0!</v>
      </c>
      <c r="EO123" s="68" t="e">
        <f t="shared" si="191"/>
        <v>#DIV/0!</v>
      </c>
      <c r="EP123" s="68" t="e">
        <f t="shared" si="192"/>
        <v>#DIV/0!</v>
      </c>
      <c r="EQ123" s="68" t="e">
        <f t="shared" si="193"/>
        <v>#DIV/0!</v>
      </c>
      <c r="ER123" s="68" t="e">
        <f t="shared" si="203"/>
        <v>#DIV/0!</v>
      </c>
    </row>
    <row r="124" spans="82:148" x14ac:dyDescent="0.25">
      <c r="CD124" s="68" t="s">
        <v>647</v>
      </c>
      <c r="CE124" s="69">
        <f t="shared" si="196"/>
        <v>260330.3</v>
      </c>
      <c r="CF124" s="69">
        <f t="shared" si="197"/>
        <v>800803.59</v>
      </c>
      <c r="CG124" s="70">
        <f t="shared" si="138"/>
        <v>270</v>
      </c>
      <c r="CH124" s="69">
        <f t="shared" si="194"/>
        <v>260330.30001199999</v>
      </c>
      <c r="CI124" s="69">
        <f t="shared" si="195"/>
        <v>800803.59001599997</v>
      </c>
      <c r="CJ124" s="68">
        <f t="shared" si="139"/>
        <v>26.05841667</v>
      </c>
      <c r="CK124" s="68">
        <f t="shared" si="140"/>
        <v>80.134330559999995</v>
      </c>
      <c r="CL124" s="68">
        <f t="shared" si="141"/>
        <v>26.05841667</v>
      </c>
      <c r="CM124" s="68">
        <f t="shared" si="142"/>
        <v>80.134330559999995</v>
      </c>
      <c r="CN124" s="68">
        <f t="shared" si="143"/>
        <v>0</v>
      </c>
      <c r="CO124" s="68">
        <f t="shared" si="144"/>
        <v>0</v>
      </c>
      <c r="CP124" s="68">
        <f t="shared" si="145"/>
        <v>0.43928729614546391</v>
      </c>
      <c r="CQ124" s="68">
        <f t="shared" si="146"/>
        <v>1.0027157713556663</v>
      </c>
      <c r="CR124" s="68">
        <f t="shared" si="147"/>
        <v>0</v>
      </c>
      <c r="CS124" s="68">
        <f t="shared" si="148"/>
        <v>0.48899531699999998</v>
      </c>
      <c r="CT124" s="68">
        <f t="shared" si="198"/>
        <v>0.23911642</v>
      </c>
      <c r="CU124" s="68">
        <f t="shared" si="149"/>
        <v>0</v>
      </c>
      <c r="CV124" s="68">
        <f t="shared" si="150"/>
        <v>0</v>
      </c>
      <c r="CW124" s="68">
        <f t="shared" si="151"/>
        <v>0</v>
      </c>
      <c r="CX124" s="68">
        <f t="shared" si="152"/>
        <v>0</v>
      </c>
      <c r="CY124" s="68">
        <f t="shared" si="153"/>
        <v>0</v>
      </c>
      <c r="CZ124" s="68" t="e">
        <f t="shared" si="154"/>
        <v>#DIV/0!</v>
      </c>
      <c r="DA124" s="68" t="e">
        <f t="shared" si="155"/>
        <v>#DIV/0!</v>
      </c>
      <c r="DB124" s="68" t="e">
        <f t="shared" si="156"/>
        <v>#DIV/0!</v>
      </c>
      <c r="DC124" s="68" t="e">
        <f t="shared" si="157"/>
        <v>#DIV/0!</v>
      </c>
      <c r="DD124" s="68" t="e">
        <f t="shared" si="158"/>
        <v>#DIV/0!</v>
      </c>
      <c r="DE124" s="68" t="e">
        <f t="shared" si="159"/>
        <v>#DIV/0!</v>
      </c>
      <c r="DF124" s="68" t="e">
        <f t="shared" si="199"/>
        <v>#DIV/0!</v>
      </c>
      <c r="DG124" s="68">
        <f t="shared" si="160"/>
        <v>0.45480516874807669</v>
      </c>
      <c r="DH124" s="68">
        <f t="shared" si="161"/>
        <v>1.3986079121535113</v>
      </c>
      <c r="DI124" s="68">
        <f t="shared" si="162"/>
        <v>4.7123889803846897</v>
      </c>
      <c r="DJ124" s="68" t="e">
        <f t="shared" si="163"/>
        <v>#DIV/0!</v>
      </c>
      <c r="DK124" s="68" t="e">
        <f t="shared" si="164"/>
        <v>#DIV/0!</v>
      </c>
      <c r="DL124" s="68" t="e">
        <f t="shared" si="165"/>
        <v>#DIV/0!</v>
      </c>
      <c r="DM124" s="68" t="e">
        <f t="shared" si="166"/>
        <v>#DIV/0!</v>
      </c>
      <c r="DN124" s="68" t="e">
        <f t="shared" si="167"/>
        <v>#DIV/0!</v>
      </c>
      <c r="DO124" s="68" t="e">
        <f t="shared" si="168"/>
        <v>#DIV/0!</v>
      </c>
      <c r="DP124" s="68" t="e">
        <f t="shared" si="169"/>
        <v>#DIV/0!</v>
      </c>
      <c r="DQ124" s="68" t="e">
        <f t="shared" si="170"/>
        <v>#DIV/0!</v>
      </c>
      <c r="DR124" s="68" t="e">
        <f t="shared" si="171"/>
        <v>#DIV/0!</v>
      </c>
      <c r="DS124" s="68" t="e">
        <f t="shared" si="172"/>
        <v>#DIV/0!</v>
      </c>
      <c r="DT124" s="68" t="e">
        <f t="shared" si="173"/>
        <v>#DIV/0!</v>
      </c>
      <c r="DU124" s="68" t="e">
        <f t="shared" si="200"/>
        <v>#DIV/0!</v>
      </c>
      <c r="DV124" s="68" t="e">
        <f t="shared" si="174"/>
        <v>#DIV/0!</v>
      </c>
      <c r="DW124" s="68" t="e">
        <f t="shared" si="201"/>
        <v>#DIV/0!</v>
      </c>
      <c r="DX124" s="68">
        <f t="shared" si="175"/>
        <v>26.05841667</v>
      </c>
      <c r="DY124" s="68">
        <f t="shared" si="176"/>
        <v>80.134330559999995</v>
      </c>
      <c r="DZ124" s="68" t="e">
        <f t="shared" si="177"/>
        <v>#DIV/0!</v>
      </c>
      <c r="EA124" s="68" t="e">
        <f t="shared" si="178"/>
        <v>#DIV/0!</v>
      </c>
      <c r="EB124" s="68" t="e">
        <f t="shared" si="179"/>
        <v>#DIV/0!</v>
      </c>
      <c r="EC124" s="68" t="e">
        <f t="shared" si="180"/>
        <v>#DIV/0!</v>
      </c>
      <c r="ED124" s="68" t="e">
        <f t="shared" si="181"/>
        <v>#DIV/0!</v>
      </c>
      <c r="EE124" s="68" t="e">
        <f t="shared" si="182"/>
        <v>#DIV/0!</v>
      </c>
      <c r="EF124" s="68" t="e">
        <f t="shared" si="183"/>
        <v>#DIV/0!</v>
      </c>
      <c r="EG124" s="68" t="e">
        <f t="shared" si="184"/>
        <v>#DIV/0!</v>
      </c>
      <c r="EH124" s="68" t="e">
        <f t="shared" si="202"/>
        <v>#DIV/0!</v>
      </c>
      <c r="EI124" s="68" t="e">
        <f t="shared" si="185"/>
        <v>#DIV/0!</v>
      </c>
      <c r="EJ124" s="68" t="e">
        <f t="shared" si="186"/>
        <v>#DIV/0!</v>
      </c>
      <c r="EK124" s="68" t="e">
        <f t="shared" si="187"/>
        <v>#DIV/0!</v>
      </c>
      <c r="EL124" s="68" t="e">
        <f t="shared" si="188"/>
        <v>#DIV/0!</v>
      </c>
      <c r="EM124" s="68" t="e">
        <f t="shared" si="189"/>
        <v>#DIV/0!</v>
      </c>
      <c r="EN124" s="68" t="e">
        <f t="shared" si="190"/>
        <v>#DIV/0!</v>
      </c>
      <c r="EO124" s="68" t="e">
        <f t="shared" si="191"/>
        <v>#DIV/0!</v>
      </c>
      <c r="EP124" s="68" t="e">
        <f t="shared" si="192"/>
        <v>#DIV/0!</v>
      </c>
      <c r="EQ124" s="68" t="e">
        <f t="shared" si="193"/>
        <v>#DIV/0!</v>
      </c>
      <c r="ER124" s="68" t="e">
        <f t="shared" si="203"/>
        <v>#DIV/0!</v>
      </c>
    </row>
    <row r="125" spans="82:148" x14ac:dyDescent="0.25">
      <c r="CD125" s="68" t="s">
        <v>648</v>
      </c>
      <c r="CE125" s="69">
        <f t="shared" si="196"/>
        <v>260330.3</v>
      </c>
      <c r="CF125" s="69">
        <f t="shared" si="197"/>
        <v>800803.59</v>
      </c>
      <c r="CG125" s="70">
        <f t="shared" si="138"/>
        <v>270</v>
      </c>
      <c r="CH125" s="69">
        <f t="shared" si="194"/>
        <v>260330.30001199999</v>
      </c>
      <c r="CI125" s="69">
        <f t="shared" si="195"/>
        <v>800803.59001599997</v>
      </c>
      <c r="CJ125" s="68">
        <f t="shared" si="139"/>
        <v>26.05841667</v>
      </c>
      <c r="CK125" s="68">
        <f t="shared" si="140"/>
        <v>80.134330559999995</v>
      </c>
      <c r="CL125" s="68">
        <f t="shared" si="141"/>
        <v>26.05841667</v>
      </c>
      <c r="CM125" s="68">
        <f t="shared" si="142"/>
        <v>80.134330559999995</v>
      </c>
      <c r="CN125" s="68">
        <f t="shared" si="143"/>
        <v>0</v>
      </c>
      <c r="CO125" s="68">
        <f t="shared" si="144"/>
        <v>0</v>
      </c>
      <c r="CP125" s="68">
        <f t="shared" si="145"/>
        <v>0.43928729614546391</v>
      </c>
      <c r="CQ125" s="68">
        <f t="shared" si="146"/>
        <v>1.0027157713556663</v>
      </c>
      <c r="CR125" s="68">
        <f t="shared" si="147"/>
        <v>0</v>
      </c>
      <c r="CS125" s="68">
        <f t="shared" si="148"/>
        <v>0.48899531699999998</v>
      </c>
      <c r="CT125" s="68">
        <f t="shared" si="198"/>
        <v>0.23911642</v>
      </c>
      <c r="CU125" s="68">
        <f t="shared" si="149"/>
        <v>0</v>
      </c>
      <c r="CV125" s="68">
        <f t="shared" si="150"/>
        <v>0</v>
      </c>
      <c r="CW125" s="68">
        <f t="shared" si="151"/>
        <v>0</v>
      </c>
      <c r="CX125" s="68">
        <f t="shared" si="152"/>
        <v>0</v>
      </c>
      <c r="CY125" s="68">
        <f t="shared" si="153"/>
        <v>0</v>
      </c>
      <c r="CZ125" s="68" t="e">
        <f t="shared" si="154"/>
        <v>#DIV/0!</v>
      </c>
      <c r="DA125" s="68" t="e">
        <f t="shared" si="155"/>
        <v>#DIV/0!</v>
      </c>
      <c r="DB125" s="68" t="e">
        <f t="shared" si="156"/>
        <v>#DIV/0!</v>
      </c>
      <c r="DC125" s="68" t="e">
        <f t="shared" si="157"/>
        <v>#DIV/0!</v>
      </c>
      <c r="DD125" s="68" t="e">
        <f t="shared" si="158"/>
        <v>#DIV/0!</v>
      </c>
      <c r="DE125" s="68" t="e">
        <f t="shared" si="159"/>
        <v>#DIV/0!</v>
      </c>
      <c r="DF125" s="68" t="e">
        <f t="shared" si="199"/>
        <v>#DIV/0!</v>
      </c>
      <c r="DG125" s="68">
        <f t="shared" si="160"/>
        <v>0.45480516874807669</v>
      </c>
      <c r="DH125" s="68">
        <f t="shared" si="161"/>
        <v>1.3986079121535113</v>
      </c>
      <c r="DI125" s="68">
        <f t="shared" si="162"/>
        <v>4.7123889803846897</v>
      </c>
      <c r="DJ125" s="68" t="e">
        <f t="shared" si="163"/>
        <v>#DIV/0!</v>
      </c>
      <c r="DK125" s="68" t="e">
        <f t="shared" si="164"/>
        <v>#DIV/0!</v>
      </c>
      <c r="DL125" s="68" t="e">
        <f t="shared" si="165"/>
        <v>#DIV/0!</v>
      </c>
      <c r="DM125" s="68" t="e">
        <f t="shared" si="166"/>
        <v>#DIV/0!</v>
      </c>
      <c r="DN125" s="68" t="e">
        <f t="shared" si="167"/>
        <v>#DIV/0!</v>
      </c>
      <c r="DO125" s="68" t="e">
        <f t="shared" si="168"/>
        <v>#DIV/0!</v>
      </c>
      <c r="DP125" s="68" t="e">
        <f t="shared" si="169"/>
        <v>#DIV/0!</v>
      </c>
      <c r="DQ125" s="68" t="e">
        <f t="shared" si="170"/>
        <v>#DIV/0!</v>
      </c>
      <c r="DR125" s="68" t="e">
        <f t="shared" si="171"/>
        <v>#DIV/0!</v>
      </c>
      <c r="DS125" s="68" t="e">
        <f t="shared" si="172"/>
        <v>#DIV/0!</v>
      </c>
      <c r="DT125" s="68" t="e">
        <f t="shared" si="173"/>
        <v>#DIV/0!</v>
      </c>
      <c r="DU125" s="68" t="e">
        <f t="shared" si="200"/>
        <v>#DIV/0!</v>
      </c>
      <c r="DV125" s="68" t="e">
        <f t="shared" si="174"/>
        <v>#DIV/0!</v>
      </c>
      <c r="DW125" s="68" t="e">
        <f t="shared" si="201"/>
        <v>#DIV/0!</v>
      </c>
      <c r="DX125" s="68">
        <f t="shared" si="175"/>
        <v>26.05841667</v>
      </c>
      <c r="DY125" s="68">
        <f t="shared" si="176"/>
        <v>80.134330559999995</v>
      </c>
      <c r="DZ125" s="68" t="e">
        <f t="shared" si="177"/>
        <v>#DIV/0!</v>
      </c>
      <c r="EA125" s="68" t="e">
        <f t="shared" si="178"/>
        <v>#DIV/0!</v>
      </c>
      <c r="EB125" s="68" t="e">
        <f t="shared" si="179"/>
        <v>#DIV/0!</v>
      </c>
      <c r="EC125" s="68" t="e">
        <f t="shared" si="180"/>
        <v>#DIV/0!</v>
      </c>
      <c r="ED125" s="68" t="e">
        <f t="shared" si="181"/>
        <v>#DIV/0!</v>
      </c>
      <c r="EE125" s="68" t="e">
        <f t="shared" si="182"/>
        <v>#DIV/0!</v>
      </c>
      <c r="EF125" s="68" t="e">
        <f t="shared" si="183"/>
        <v>#DIV/0!</v>
      </c>
      <c r="EG125" s="68" t="e">
        <f t="shared" si="184"/>
        <v>#DIV/0!</v>
      </c>
      <c r="EH125" s="68" t="e">
        <f t="shared" si="202"/>
        <v>#DIV/0!</v>
      </c>
      <c r="EI125" s="68" t="e">
        <f t="shared" si="185"/>
        <v>#DIV/0!</v>
      </c>
      <c r="EJ125" s="68" t="e">
        <f t="shared" si="186"/>
        <v>#DIV/0!</v>
      </c>
      <c r="EK125" s="68" t="e">
        <f t="shared" si="187"/>
        <v>#DIV/0!</v>
      </c>
      <c r="EL125" s="68" t="e">
        <f t="shared" si="188"/>
        <v>#DIV/0!</v>
      </c>
      <c r="EM125" s="68" t="e">
        <f t="shared" si="189"/>
        <v>#DIV/0!</v>
      </c>
      <c r="EN125" s="68" t="e">
        <f t="shared" si="190"/>
        <v>#DIV/0!</v>
      </c>
      <c r="EO125" s="68" t="e">
        <f t="shared" si="191"/>
        <v>#DIV/0!</v>
      </c>
      <c r="EP125" s="68" t="e">
        <f t="shared" si="192"/>
        <v>#DIV/0!</v>
      </c>
      <c r="EQ125" s="68" t="e">
        <f t="shared" si="193"/>
        <v>#DIV/0!</v>
      </c>
      <c r="ER125" s="68" t="e">
        <f t="shared" si="203"/>
        <v>#DIV/0!</v>
      </c>
    </row>
    <row r="126" spans="82:148" x14ac:dyDescent="0.25">
      <c r="CD126" s="68" t="s">
        <v>649</v>
      </c>
      <c r="CE126" s="69">
        <f t="shared" si="196"/>
        <v>260330.3</v>
      </c>
      <c r="CF126" s="69">
        <f t="shared" si="197"/>
        <v>800803.59</v>
      </c>
      <c r="CG126" s="70">
        <f t="shared" si="138"/>
        <v>270</v>
      </c>
      <c r="CH126" s="69">
        <f t="shared" si="194"/>
        <v>260330.30001199999</v>
      </c>
      <c r="CI126" s="69">
        <f t="shared" si="195"/>
        <v>800803.59001599997</v>
      </c>
      <c r="CJ126" s="68">
        <f t="shared" si="139"/>
        <v>26.05841667</v>
      </c>
      <c r="CK126" s="68">
        <f t="shared" si="140"/>
        <v>80.134330559999995</v>
      </c>
      <c r="CL126" s="68">
        <f t="shared" si="141"/>
        <v>26.05841667</v>
      </c>
      <c r="CM126" s="68">
        <f t="shared" si="142"/>
        <v>80.134330559999995</v>
      </c>
      <c r="CN126" s="68">
        <f t="shared" si="143"/>
        <v>0</v>
      </c>
      <c r="CO126" s="68">
        <f t="shared" si="144"/>
        <v>0</v>
      </c>
      <c r="CP126" s="68">
        <f t="shared" si="145"/>
        <v>0.43928729614546391</v>
      </c>
      <c r="CQ126" s="68">
        <f t="shared" si="146"/>
        <v>1.0027157713556663</v>
      </c>
      <c r="CR126" s="68">
        <f t="shared" si="147"/>
        <v>0</v>
      </c>
      <c r="CS126" s="68">
        <f t="shared" si="148"/>
        <v>0.48899531699999998</v>
      </c>
      <c r="CT126" s="68">
        <f t="shared" si="198"/>
        <v>0.23911642</v>
      </c>
      <c r="CU126" s="68">
        <f t="shared" si="149"/>
        <v>0</v>
      </c>
      <c r="CV126" s="68">
        <f t="shared" si="150"/>
        <v>0</v>
      </c>
      <c r="CW126" s="68">
        <f t="shared" si="151"/>
        <v>0</v>
      </c>
      <c r="CX126" s="68">
        <f t="shared" si="152"/>
        <v>0</v>
      </c>
      <c r="CY126" s="68">
        <f t="shared" si="153"/>
        <v>0</v>
      </c>
      <c r="CZ126" s="68" t="e">
        <f t="shared" si="154"/>
        <v>#DIV/0!</v>
      </c>
      <c r="DA126" s="68" t="e">
        <f t="shared" si="155"/>
        <v>#DIV/0!</v>
      </c>
      <c r="DB126" s="68" t="e">
        <f t="shared" si="156"/>
        <v>#DIV/0!</v>
      </c>
      <c r="DC126" s="68" t="e">
        <f t="shared" si="157"/>
        <v>#DIV/0!</v>
      </c>
      <c r="DD126" s="68" t="e">
        <f t="shared" si="158"/>
        <v>#DIV/0!</v>
      </c>
      <c r="DE126" s="68" t="e">
        <f t="shared" si="159"/>
        <v>#DIV/0!</v>
      </c>
      <c r="DF126" s="68" t="e">
        <f t="shared" si="199"/>
        <v>#DIV/0!</v>
      </c>
      <c r="DG126" s="68">
        <f t="shared" si="160"/>
        <v>0.45480516874807669</v>
      </c>
      <c r="DH126" s="68">
        <f t="shared" si="161"/>
        <v>1.3986079121535113</v>
      </c>
      <c r="DI126" s="68">
        <f t="shared" si="162"/>
        <v>4.7123889803846897</v>
      </c>
      <c r="DJ126" s="68" t="e">
        <f t="shared" si="163"/>
        <v>#DIV/0!</v>
      </c>
      <c r="DK126" s="68" t="e">
        <f t="shared" si="164"/>
        <v>#DIV/0!</v>
      </c>
      <c r="DL126" s="68" t="e">
        <f t="shared" si="165"/>
        <v>#DIV/0!</v>
      </c>
      <c r="DM126" s="68" t="e">
        <f t="shared" si="166"/>
        <v>#DIV/0!</v>
      </c>
      <c r="DN126" s="68" t="e">
        <f t="shared" si="167"/>
        <v>#DIV/0!</v>
      </c>
      <c r="DO126" s="68" t="e">
        <f t="shared" si="168"/>
        <v>#DIV/0!</v>
      </c>
      <c r="DP126" s="68" t="e">
        <f t="shared" si="169"/>
        <v>#DIV/0!</v>
      </c>
      <c r="DQ126" s="68" t="e">
        <f t="shared" si="170"/>
        <v>#DIV/0!</v>
      </c>
      <c r="DR126" s="68" t="e">
        <f t="shared" si="171"/>
        <v>#DIV/0!</v>
      </c>
      <c r="DS126" s="68" t="e">
        <f t="shared" si="172"/>
        <v>#DIV/0!</v>
      </c>
      <c r="DT126" s="68" t="e">
        <f t="shared" si="173"/>
        <v>#DIV/0!</v>
      </c>
      <c r="DU126" s="68" t="e">
        <f t="shared" si="200"/>
        <v>#DIV/0!</v>
      </c>
      <c r="DV126" s="68" t="e">
        <f t="shared" si="174"/>
        <v>#DIV/0!</v>
      </c>
      <c r="DW126" s="68" t="e">
        <f t="shared" si="201"/>
        <v>#DIV/0!</v>
      </c>
      <c r="DX126" s="68">
        <f t="shared" si="175"/>
        <v>26.05841667</v>
      </c>
      <c r="DY126" s="68">
        <f t="shared" si="176"/>
        <v>80.134330559999995</v>
      </c>
      <c r="DZ126" s="68" t="e">
        <f t="shared" si="177"/>
        <v>#DIV/0!</v>
      </c>
      <c r="EA126" s="68" t="e">
        <f t="shared" si="178"/>
        <v>#DIV/0!</v>
      </c>
      <c r="EB126" s="68" t="e">
        <f t="shared" si="179"/>
        <v>#DIV/0!</v>
      </c>
      <c r="EC126" s="68" t="e">
        <f t="shared" si="180"/>
        <v>#DIV/0!</v>
      </c>
      <c r="ED126" s="68" t="e">
        <f t="shared" si="181"/>
        <v>#DIV/0!</v>
      </c>
      <c r="EE126" s="68" t="e">
        <f t="shared" si="182"/>
        <v>#DIV/0!</v>
      </c>
      <c r="EF126" s="68" t="e">
        <f t="shared" si="183"/>
        <v>#DIV/0!</v>
      </c>
      <c r="EG126" s="68" t="e">
        <f t="shared" si="184"/>
        <v>#DIV/0!</v>
      </c>
      <c r="EH126" s="68" t="e">
        <f t="shared" si="202"/>
        <v>#DIV/0!</v>
      </c>
      <c r="EI126" s="68" t="e">
        <f t="shared" si="185"/>
        <v>#DIV/0!</v>
      </c>
      <c r="EJ126" s="68" t="e">
        <f t="shared" si="186"/>
        <v>#DIV/0!</v>
      </c>
      <c r="EK126" s="68" t="e">
        <f t="shared" si="187"/>
        <v>#DIV/0!</v>
      </c>
      <c r="EL126" s="68" t="e">
        <f t="shared" si="188"/>
        <v>#DIV/0!</v>
      </c>
      <c r="EM126" s="68" t="e">
        <f t="shared" si="189"/>
        <v>#DIV/0!</v>
      </c>
      <c r="EN126" s="68" t="e">
        <f t="shared" si="190"/>
        <v>#DIV/0!</v>
      </c>
      <c r="EO126" s="68" t="e">
        <f t="shared" si="191"/>
        <v>#DIV/0!</v>
      </c>
      <c r="EP126" s="68" t="e">
        <f t="shared" si="192"/>
        <v>#DIV/0!</v>
      </c>
      <c r="EQ126" s="68" t="e">
        <f t="shared" si="193"/>
        <v>#DIV/0!</v>
      </c>
      <c r="ER126" s="68" t="e">
        <f t="shared" si="203"/>
        <v>#DIV/0!</v>
      </c>
    </row>
    <row r="127" spans="82:148" x14ac:dyDescent="0.25">
      <c r="CD127" s="68" t="s">
        <v>650</v>
      </c>
      <c r="CE127" s="69">
        <f t="shared" si="196"/>
        <v>260330.3</v>
      </c>
      <c r="CF127" s="69">
        <f t="shared" si="197"/>
        <v>800803.59</v>
      </c>
      <c r="CG127" s="70">
        <f t="shared" si="138"/>
        <v>270</v>
      </c>
      <c r="CH127" s="69">
        <f t="shared" si="194"/>
        <v>260330.30001199999</v>
      </c>
      <c r="CI127" s="69">
        <f t="shared" si="195"/>
        <v>800803.59001599997</v>
      </c>
      <c r="CJ127" s="68">
        <f t="shared" si="139"/>
        <v>26.05841667</v>
      </c>
      <c r="CK127" s="68">
        <f t="shared" si="140"/>
        <v>80.134330559999995</v>
      </c>
      <c r="CL127" s="68">
        <f t="shared" si="141"/>
        <v>26.05841667</v>
      </c>
      <c r="CM127" s="68">
        <f t="shared" si="142"/>
        <v>80.134330559999995</v>
      </c>
      <c r="CN127" s="68">
        <f t="shared" si="143"/>
        <v>0</v>
      </c>
      <c r="CO127" s="68">
        <f t="shared" si="144"/>
        <v>0</v>
      </c>
      <c r="CP127" s="68">
        <f t="shared" si="145"/>
        <v>0.43928729614546391</v>
      </c>
      <c r="CQ127" s="68">
        <f t="shared" si="146"/>
        <v>1.0027157713556663</v>
      </c>
      <c r="CR127" s="68">
        <f t="shared" si="147"/>
        <v>0</v>
      </c>
      <c r="CS127" s="68">
        <f t="shared" si="148"/>
        <v>0.48899531699999998</v>
      </c>
      <c r="CT127" s="68">
        <f t="shared" si="198"/>
        <v>0.23911642</v>
      </c>
      <c r="CU127" s="68">
        <f t="shared" si="149"/>
        <v>0</v>
      </c>
      <c r="CV127" s="68">
        <f t="shared" si="150"/>
        <v>0</v>
      </c>
      <c r="CW127" s="68">
        <f t="shared" si="151"/>
        <v>0</v>
      </c>
      <c r="CX127" s="68">
        <f t="shared" si="152"/>
        <v>0</v>
      </c>
      <c r="CY127" s="68">
        <f t="shared" si="153"/>
        <v>0</v>
      </c>
      <c r="CZ127" s="68" t="e">
        <f t="shared" si="154"/>
        <v>#DIV/0!</v>
      </c>
      <c r="DA127" s="68" t="e">
        <f t="shared" si="155"/>
        <v>#DIV/0!</v>
      </c>
      <c r="DB127" s="68" t="e">
        <f t="shared" si="156"/>
        <v>#DIV/0!</v>
      </c>
      <c r="DC127" s="68" t="e">
        <f t="shared" si="157"/>
        <v>#DIV/0!</v>
      </c>
      <c r="DD127" s="68" t="e">
        <f t="shared" si="158"/>
        <v>#DIV/0!</v>
      </c>
      <c r="DE127" s="68" t="e">
        <f t="shared" si="159"/>
        <v>#DIV/0!</v>
      </c>
      <c r="DF127" s="68" t="e">
        <f t="shared" si="199"/>
        <v>#DIV/0!</v>
      </c>
      <c r="DG127" s="68">
        <f t="shared" si="160"/>
        <v>0.45480516874807669</v>
      </c>
      <c r="DH127" s="68">
        <f t="shared" si="161"/>
        <v>1.3986079121535113</v>
      </c>
      <c r="DI127" s="68">
        <f t="shared" si="162"/>
        <v>4.7123889803846897</v>
      </c>
      <c r="DJ127" s="68" t="e">
        <f t="shared" si="163"/>
        <v>#DIV/0!</v>
      </c>
      <c r="DK127" s="68" t="e">
        <f t="shared" si="164"/>
        <v>#DIV/0!</v>
      </c>
      <c r="DL127" s="68" t="e">
        <f t="shared" si="165"/>
        <v>#DIV/0!</v>
      </c>
      <c r="DM127" s="68" t="e">
        <f t="shared" si="166"/>
        <v>#DIV/0!</v>
      </c>
      <c r="DN127" s="68" t="e">
        <f t="shared" si="167"/>
        <v>#DIV/0!</v>
      </c>
      <c r="DO127" s="68" t="e">
        <f t="shared" si="168"/>
        <v>#DIV/0!</v>
      </c>
      <c r="DP127" s="68" t="e">
        <f t="shared" si="169"/>
        <v>#DIV/0!</v>
      </c>
      <c r="DQ127" s="68" t="e">
        <f t="shared" si="170"/>
        <v>#DIV/0!</v>
      </c>
      <c r="DR127" s="68" t="e">
        <f t="shared" si="171"/>
        <v>#DIV/0!</v>
      </c>
      <c r="DS127" s="68" t="e">
        <f t="shared" si="172"/>
        <v>#DIV/0!</v>
      </c>
      <c r="DT127" s="68" t="e">
        <f t="shared" si="173"/>
        <v>#DIV/0!</v>
      </c>
      <c r="DU127" s="68" t="e">
        <f t="shared" si="200"/>
        <v>#DIV/0!</v>
      </c>
      <c r="DV127" s="68" t="e">
        <f t="shared" si="174"/>
        <v>#DIV/0!</v>
      </c>
      <c r="DW127" s="68" t="e">
        <f t="shared" si="201"/>
        <v>#DIV/0!</v>
      </c>
      <c r="DX127" s="68">
        <f t="shared" si="175"/>
        <v>26.05841667</v>
      </c>
      <c r="DY127" s="68">
        <f t="shared" si="176"/>
        <v>80.134330559999995</v>
      </c>
      <c r="DZ127" s="68" t="e">
        <f t="shared" si="177"/>
        <v>#DIV/0!</v>
      </c>
      <c r="EA127" s="68" t="e">
        <f t="shared" si="178"/>
        <v>#DIV/0!</v>
      </c>
      <c r="EB127" s="68" t="e">
        <f t="shared" si="179"/>
        <v>#DIV/0!</v>
      </c>
      <c r="EC127" s="68" t="e">
        <f t="shared" si="180"/>
        <v>#DIV/0!</v>
      </c>
      <c r="ED127" s="68" t="e">
        <f t="shared" si="181"/>
        <v>#DIV/0!</v>
      </c>
      <c r="EE127" s="68" t="e">
        <f t="shared" si="182"/>
        <v>#DIV/0!</v>
      </c>
      <c r="EF127" s="68" t="e">
        <f t="shared" si="183"/>
        <v>#DIV/0!</v>
      </c>
      <c r="EG127" s="68" t="e">
        <f t="shared" si="184"/>
        <v>#DIV/0!</v>
      </c>
      <c r="EH127" s="68" t="e">
        <f t="shared" si="202"/>
        <v>#DIV/0!</v>
      </c>
      <c r="EI127" s="68" t="e">
        <f t="shared" si="185"/>
        <v>#DIV/0!</v>
      </c>
      <c r="EJ127" s="68" t="e">
        <f t="shared" si="186"/>
        <v>#DIV/0!</v>
      </c>
      <c r="EK127" s="68" t="e">
        <f t="shared" si="187"/>
        <v>#DIV/0!</v>
      </c>
      <c r="EL127" s="68" t="e">
        <f t="shared" si="188"/>
        <v>#DIV/0!</v>
      </c>
      <c r="EM127" s="68" t="e">
        <f t="shared" si="189"/>
        <v>#DIV/0!</v>
      </c>
      <c r="EN127" s="68" t="e">
        <f t="shared" si="190"/>
        <v>#DIV/0!</v>
      </c>
      <c r="EO127" s="68" t="e">
        <f t="shared" si="191"/>
        <v>#DIV/0!</v>
      </c>
      <c r="EP127" s="68" t="e">
        <f t="shared" si="192"/>
        <v>#DIV/0!</v>
      </c>
      <c r="EQ127" s="68" t="e">
        <f t="shared" si="193"/>
        <v>#DIV/0!</v>
      </c>
      <c r="ER127" s="68" t="e">
        <f t="shared" si="203"/>
        <v>#DIV/0!</v>
      </c>
    </row>
    <row r="128" spans="82:148" x14ac:dyDescent="0.25">
      <c r="CD128" s="68" t="s">
        <v>651</v>
      </c>
      <c r="CE128" s="69">
        <f t="shared" si="196"/>
        <v>260330.3</v>
      </c>
      <c r="CF128" s="69">
        <f t="shared" si="197"/>
        <v>800803.59</v>
      </c>
      <c r="CG128" s="70">
        <f t="shared" si="138"/>
        <v>270</v>
      </c>
      <c r="CH128" s="69">
        <f t="shared" si="194"/>
        <v>260330.30001199999</v>
      </c>
      <c r="CI128" s="69">
        <f t="shared" si="195"/>
        <v>800803.59001599997</v>
      </c>
      <c r="CJ128" s="68">
        <f t="shared" si="139"/>
        <v>26.05841667</v>
      </c>
      <c r="CK128" s="68">
        <f t="shared" si="140"/>
        <v>80.134330559999995</v>
      </c>
      <c r="CL128" s="68">
        <f t="shared" si="141"/>
        <v>26.05841667</v>
      </c>
      <c r="CM128" s="68">
        <f t="shared" si="142"/>
        <v>80.134330559999995</v>
      </c>
      <c r="CN128" s="68">
        <f t="shared" si="143"/>
        <v>0</v>
      </c>
      <c r="CO128" s="68">
        <f t="shared" si="144"/>
        <v>0</v>
      </c>
      <c r="CP128" s="68">
        <f t="shared" si="145"/>
        <v>0.43928729614546391</v>
      </c>
      <c r="CQ128" s="68">
        <f t="shared" si="146"/>
        <v>1.0027157713556663</v>
      </c>
      <c r="CR128" s="68">
        <f t="shared" si="147"/>
        <v>0</v>
      </c>
      <c r="CS128" s="68">
        <f t="shared" si="148"/>
        <v>0.48899531699999998</v>
      </c>
      <c r="CT128" s="68">
        <f t="shared" si="198"/>
        <v>0.23911642</v>
      </c>
      <c r="CU128" s="68">
        <f t="shared" si="149"/>
        <v>0</v>
      </c>
      <c r="CV128" s="68">
        <f t="shared" si="150"/>
        <v>0</v>
      </c>
      <c r="CW128" s="68">
        <f t="shared" si="151"/>
        <v>0</v>
      </c>
      <c r="CX128" s="68">
        <f t="shared" si="152"/>
        <v>0</v>
      </c>
      <c r="CY128" s="68">
        <f t="shared" si="153"/>
        <v>0</v>
      </c>
      <c r="CZ128" s="68" t="e">
        <f t="shared" si="154"/>
        <v>#DIV/0!</v>
      </c>
      <c r="DA128" s="68" t="e">
        <f t="shared" si="155"/>
        <v>#DIV/0!</v>
      </c>
      <c r="DB128" s="68" t="e">
        <f t="shared" si="156"/>
        <v>#DIV/0!</v>
      </c>
      <c r="DC128" s="68" t="e">
        <f t="shared" si="157"/>
        <v>#DIV/0!</v>
      </c>
      <c r="DD128" s="68" t="e">
        <f t="shared" si="158"/>
        <v>#DIV/0!</v>
      </c>
      <c r="DE128" s="68" t="e">
        <f t="shared" si="159"/>
        <v>#DIV/0!</v>
      </c>
      <c r="DF128" s="68" t="e">
        <f t="shared" si="199"/>
        <v>#DIV/0!</v>
      </c>
      <c r="DG128" s="68">
        <f t="shared" si="160"/>
        <v>0.45480516874807669</v>
      </c>
      <c r="DH128" s="68">
        <f t="shared" si="161"/>
        <v>1.3986079121535113</v>
      </c>
      <c r="DI128" s="68">
        <f t="shared" si="162"/>
        <v>4.7123889803846897</v>
      </c>
      <c r="DJ128" s="68" t="e">
        <f t="shared" si="163"/>
        <v>#DIV/0!</v>
      </c>
      <c r="DK128" s="68" t="e">
        <f t="shared" si="164"/>
        <v>#DIV/0!</v>
      </c>
      <c r="DL128" s="68" t="e">
        <f t="shared" si="165"/>
        <v>#DIV/0!</v>
      </c>
      <c r="DM128" s="68" t="e">
        <f t="shared" si="166"/>
        <v>#DIV/0!</v>
      </c>
      <c r="DN128" s="68" t="e">
        <f t="shared" si="167"/>
        <v>#DIV/0!</v>
      </c>
      <c r="DO128" s="68" t="e">
        <f t="shared" si="168"/>
        <v>#DIV/0!</v>
      </c>
      <c r="DP128" s="68" t="e">
        <f t="shared" si="169"/>
        <v>#DIV/0!</v>
      </c>
      <c r="DQ128" s="68" t="e">
        <f t="shared" si="170"/>
        <v>#DIV/0!</v>
      </c>
      <c r="DR128" s="68" t="e">
        <f t="shared" si="171"/>
        <v>#DIV/0!</v>
      </c>
      <c r="DS128" s="68" t="e">
        <f t="shared" si="172"/>
        <v>#DIV/0!</v>
      </c>
      <c r="DT128" s="68" t="e">
        <f t="shared" si="173"/>
        <v>#DIV/0!</v>
      </c>
      <c r="DU128" s="68" t="e">
        <f t="shared" si="200"/>
        <v>#DIV/0!</v>
      </c>
      <c r="DV128" s="68" t="e">
        <f t="shared" si="174"/>
        <v>#DIV/0!</v>
      </c>
      <c r="DW128" s="68" t="e">
        <f t="shared" si="201"/>
        <v>#DIV/0!</v>
      </c>
      <c r="DX128" s="68">
        <f t="shared" si="175"/>
        <v>26.05841667</v>
      </c>
      <c r="DY128" s="68">
        <f t="shared" si="176"/>
        <v>80.134330559999995</v>
      </c>
      <c r="DZ128" s="68" t="e">
        <f t="shared" si="177"/>
        <v>#DIV/0!</v>
      </c>
      <c r="EA128" s="68" t="e">
        <f t="shared" si="178"/>
        <v>#DIV/0!</v>
      </c>
      <c r="EB128" s="68" t="e">
        <f t="shared" si="179"/>
        <v>#DIV/0!</v>
      </c>
      <c r="EC128" s="68" t="e">
        <f t="shared" si="180"/>
        <v>#DIV/0!</v>
      </c>
      <c r="ED128" s="68" t="e">
        <f t="shared" si="181"/>
        <v>#DIV/0!</v>
      </c>
      <c r="EE128" s="68" t="e">
        <f t="shared" si="182"/>
        <v>#DIV/0!</v>
      </c>
      <c r="EF128" s="68" t="e">
        <f t="shared" si="183"/>
        <v>#DIV/0!</v>
      </c>
      <c r="EG128" s="68" t="e">
        <f t="shared" si="184"/>
        <v>#DIV/0!</v>
      </c>
      <c r="EH128" s="68" t="e">
        <f t="shared" si="202"/>
        <v>#DIV/0!</v>
      </c>
      <c r="EI128" s="68" t="e">
        <f t="shared" si="185"/>
        <v>#DIV/0!</v>
      </c>
      <c r="EJ128" s="68" t="e">
        <f t="shared" si="186"/>
        <v>#DIV/0!</v>
      </c>
      <c r="EK128" s="68" t="e">
        <f t="shared" si="187"/>
        <v>#DIV/0!</v>
      </c>
      <c r="EL128" s="68" t="e">
        <f t="shared" si="188"/>
        <v>#DIV/0!</v>
      </c>
      <c r="EM128" s="68" t="e">
        <f t="shared" si="189"/>
        <v>#DIV/0!</v>
      </c>
      <c r="EN128" s="68" t="e">
        <f t="shared" si="190"/>
        <v>#DIV/0!</v>
      </c>
      <c r="EO128" s="68" t="e">
        <f t="shared" si="191"/>
        <v>#DIV/0!</v>
      </c>
      <c r="EP128" s="68" t="e">
        <f t="shared" si="192"/>
        <v>#DIV/0!</v>
      </c>
      <c r="EQ128" s="68" t="e">
        <f t="shared" si="193"/>
        <v>#DIV/0!</v>
      </c>
      <c r="ER128" s="68" t="e">
        <f t="shared" si="203"/>
        <v>#DIV/0!</v>
      </c>
    </row>
    <row r="129" spans="82:148" x14ac:dyDescent="0.25">
      <c r="CD129" s="68" t="s">
        <v>652</v>
      </c>
      <c r="CE129" s="69">
        <f t="shared" si="196"/>
        <v>260330.3</v>
      </c>
      <c r="CF129" s="69">
        <f t="shared" si="197"/>
        <v>800803.59</v>
      </c>
      <c r="CG129" s="70">
        <f t="shared" si="138"/>
        <v>270</v>
      </c>
      <c r="CH129" s="69">
        <f t="shared" si="194"/>
        <v>260330.30001199999</v>
      </c>
      <c r="CI129" s="69">
        <f t="shared" si="195"/>
        <v>800803.59001599997</v>
      </c>
      <c r="CJ129" s="68">
        <f t="shared" si="139"/>
        <v>26.05841667</v>
      </c>
      <c r="CK129" s="68">
        <f t="shared" si="140"/>
        <v>80.134330559999995</v>
      </c>
      <c r="CL129" s="68">
        <f t="shared" si="141"/>
        <v>26.05841667</v>
      </c>
      <c r="CM129" s="68">
        <f t="shared" si="142"/>
        <v>80.134330559999995</v>
      </c>
      <c r="CN129" s="68">
        <f t="shared" si="143"/>
        <v>0</v>
      </c>
      <c r="CO129" s="68">
        <f t="shared" si="144"/>
        <v>0</v>
      </c>
      <c r="CP129" s="68">
        <f t="shared" si="145"/>
        <v>0.43928729614546391</v>
      </c>
      <c r="CQ129" s="68">
        <f t="shared" si="146"/>
        <v>1.0027157713556663</v>
      </c>
      <c r="CR129" s="68">
        <f t="shared" si="147"/>
        <v>0</v>
      </c>
      <c r="CS129" s="68">
        <f t="shared" si="148"/>
        <v>0.48899531699999998</v>
      </c>
      <c r="CT129" s="68">
        <f t="shared" si="198"/>
        <v>0.23911642</v>
      </c>
      <c r="CU129" s="68">
        <f t="shared" si="149"/>
        <v>0</v>
      </c>
      <c r="CV129" s="68">
        <f t="shared" si="150"/>
        <v>0</v>
      </c>
      <c r="CW129" s="68">
        <f t="shared" si="151"/>
        <v>0</v>
      </c>
      <c r="CX129" s="68">
        <f t="shared" si="152"/>
        <v>0</v>
      </c>
      <c r="CY129" s="68">
        <f t="shared" si="153"/>
        <v>0</v>
      </c>
      <c r="CZ129" s="68" t="e">
        <f t="shared" si="154"/>
        <v>#DIV/0!</v>
      </c>
      <c r="DA129" s="68" t="e">
        <f t="shared" si="155"/>
        <v>#DIV/0!</v>
      </c>
      <c r="DB129" s="68" t="e">
        <f t="shared" si="156"/>
        <v>#DIV/0!</v>
      </c>
      <c r="DC129" s="68" t="e">
        <f t="shared" si="157"/>
        <v>#DIV/0!</v>
      </c>
      <c r="DD129" s="68" t="e">
        <f t="shared" si="158"/>
        <v>#DIV/0!</v>
      </c>
      <c r="DE129" s="68" t="e">
        <f t="shared" si="159"/>
        <v>#DIV/0!</v>
      </c>
      <c r="DF129" s="68" t="e">
        <f t="shared" si="199"/>
        <v>#DIV/0!</v>
      </c>
      <c r="DG129" s="68">
        <f t="shared" si="160"/>
        <v>0.45480516874807669</v>
      </c>
      <c r="DH129" s="68">
        <f t="shared" si="161"/>
        <v>1.3986079121535113</v>
      </c>
      <c r="DI129" s="68">
        <f t="shared" si="162"/>
        <v>4.7123889803846897</v>
      </c>
      <c r="DJ129" s="68" t="e">
        <f t="shared" si="163"/>
        <v>#DIV/0!</v>
      </c>
      <c r="DK129" s="68" t="e">
        <f t="shared" si="164"/>
        <v>#DIV/0!</v>
      </c>
      <c r="DL129" s="68" t="e">
        <f t="shared" si="165"/>
        <v>#DIV/0!</v>
      </c>
      <c r="DM129" s="68" t="e">
        <f t="shared" si="166"/>
        <v>#DIV/0!</v>
      </c>
      <c r="DN129" s="68" t="e">
        <f t="shared" si="167"/>
        <v>#DIV/0!</v>
      </c>
      <c r="DO129" s="68" t="e">
        <f t="shared" si="168"/>
        <v>#DIV/0!</v>
      </c>
      <c r="DP129" s="68" t="e">
        <f t="shared" si="169"/>
        <v>#DIV/0!</v>
      </c>
      <c r="DQ129" s="68" t="e">
        <f t="shared" si="170"/>
        <v>#DIV/0!</v>
      </c>
      <c r="DR129" s="68" t="e">
        <f t="shared" si="171"/>
        <v>#DIV/0!</v>
      </c>
      <c r="DS129" s="68" t="e">
        <f t="shared" si="172"/>
        <v>#DIV/0!</v>
      </c>
      <c r="DT129" s="68" t="e">
        <f t="shared" si="173"/>
        <v>#DIV/0!</v>
      </c>
      <c r="DU129" s="68" t="e">
        <f t="shared" si="200"/>
        <v>#DIV/0!</v>
      </c>
      <c r="DV129" s="68" t="e">
        <f t="shared" si="174"/>
        <v>#DIV/0!</v>
      </c>
      <c r="DW129" s="68" t="e">
        <f t="shared" si="201"/>
        <v>#DIV/0!</v>
      </c>
      <c r="DX129" s="68">
        <f t="shared" si="175"/>
        <v>26.05841667</v>
      </c>
      <c r="DY129" s="68">
        <f t="shared" si="176"/>
        <v>80.134330559999995</v>
      </c>
      <c r="DZ129" s="68" t="e">
        <f t="shared" si="177"/>
        <v>#DIV/0!</v>
      </c>
      <c r="EA129" s="68" t="e">
        <f t="shared" si="178"/>
        <v>#DIV/0!</v>
      </c>
      <c r="EB129" s="68" t="e">
        <f t="shared" si="179"/>
        <v>#DIV/0!</v>
      </c>
      <c r="EC129" s="68" t="e">
        <f t="shared" si="180"/>
        <v>#DIV/0!</v>
      </c>
      <c r="ED129" s="68" t="e">
        <f t="shared" si="181"/>
        <v>#DIV/0!</v>
      </c>
      <c r="EE129" s="68" t="e">
        <f t="shared" si="182"/>
        <v>#DIV/0!</v>
      </c>
      <c r="EF129" s="68" t="e">
        <f t="shared" si="183"/>
        <v>#DIV/0!</v>
      </c>
      <c r="EG129" s="68" t="e">
        <f t="shared" si="184"/>
        <v>#DIV/0!</v>
      </c>
      <c r="EH129" s="68" t="e">
        <f t="shared" si="202"/>
        <v>#DIV/0!</v>
      </c>
      <c r="EI129" s="68" t="e">
        <f t="shared" si="185"/>
        <v>#DIV/0!</v>
      </c>
      <c r="EJ129" s="68" t="e">
        <f t="shared" si="186"/>
        <v>#DIV/0!</v>
      </c>
      <c r="EK129" s="68" t="e">
        <f t="shared" si="187"/>
        <v>#DIV/0!</v>
      </c>
      <c r="EL129" s="68" t="e">
        <f t="shared" si="188"/>
        <v>#DIV/0!</v>
      </c>
      <c r="EM129" s="68" t="e">
        <f t="shared" si="189"/>
        <v>#DIV/0!</v>
      </c>
      <c r="EN129" s="68" t="e">
        <f t="shared" si="190"/>
        <v>#DIV/0!</v>
      </c>
      <c r="EO129" s="68" t="e">
        <f t="shared" si="191"/>
        <v>#DIV/0!</v>
      </c>
      <c r="EP129" s="68" t="e">
        <f t="shared" si="192"/>
        <v>#DIV/0!</v>
      </c>
      <c r="EQ129" s="68" t="e">
        <f t="shared" si="193"/>
        <v>#DIV/0!</v>
      </c>
      <c r="ER129" s="68" t="e">
        <f t="shared" si="203"/>
        <v>#DIV/0!</v>
      </c>
    </row>
    <row r="130" spans="82:148" x14ac:dyDescent="0.25">
      <c r="CD130" s="68" t="s">
        <v>653</v>
      </c>
      <c r="CE130" s="69">
        <f t="shared" si="196"/>
        <v>260330.3</v>
      </c>
      <c r="CF130" s="69">
        <f t="shared" si="197"/>
        <v>800803.59</v>
      </c>
      <c r="CG130" s="70">
        <f t="shared" si="138"/>
        <v>270</v>
      </c>
      <c r="CH130" s="69">
        <f t="shared" si="194"/>
        <v>260330.30001199999</v>
      </c>
      <c r="CI130" s="69">
        <f t="shared" si="195"/>
        <v>800803.59001599997</v>
      </c>
      <c r="CJ130" s="68">
        <f t="shared" si="139"/>
        <v>26.05841667</v>
      </c>
      <c r="CK130" s="68">
        <f t="shared" si="140"/>
        <v>80.134330559999995</v>
      </c>
      <c r="CL130" s="68">
        <f t="shared" si="141"/>
        <v>26.05841667</v>
      </c>
      <c r="CM130" s="68">
        <f t="shared" si="142"/>
        <v>80.134330559999995</v>
      </c>
      <c r="CN130" s="68">
        <f t="shared" si="143"/>
        <v>0</v>
      </c>
      <c r="CO130" s="68">
        <f t="shared" si="144"/>
        <v>0</v>
      </c>
      <c r="CP130" s="68">
        <f t="shared" si="145"/>
        <v>0.43928729614546391</v>
      </c>
      <c r="CQ130" s="68">
        <f t="shared" si="146"/>
        <v>1.0027157713556663</v>
      </c>
      <c r="CR130" s="68">
        <f t="shared" si="147"/>
        <v>0</v>
      </c>
      <c r="CS130" s="68">
        <f t="shared" si="148"/>
        <v>0.48899531699999998</v>
      </c>
      <c r="CT130" s="68">
        <f t="shared" si="198"/>
        <v>0.23911642</v>
      </c>
      <c r="CU130" s="68">
        <f t="shared" si="149"/>
        <v>0</v>
      </c>
      <c r="CV130" s="68">
        <f t="shared" si="150"/>
        <v>0</v>
      </c>
      <c r="CW130" s="68">
        <f t="shared" si="151"/>
        <v>0</v>
      </c>
      <c r="CX130" s="68">
        <f t="shared" si="152"/>
        <v>0</v>
      </c>
      <c r="CY130" s="68">
        <f t="shared" si="153"/>
        <v>0</v>
      </c>
      <c r="CZ130" s="68" t="e">
        <f t="shared" si="154"/>
        <v>#DIV/0!</v>
      </c>
      <c r="DA130" s="68" t="e">
        <f t="shared" si="155"/>
        <v>#DIV/0!</v>
      </c>
      <c r="DB130" s="68" t="e">
        <f t="shared" si="156"/>
        <v>#DIV/0!</v>
      </c>
      <c r="DC130" s="68" t="e">
        <f t="shared" si="157"/>
        <v>#DIV/0!</v>
      </c>
      <c r="DD130" s="68" t="e">
        <f t="shared" si="158"/>
        <v>#DIV/0!</v>
      </c>
      <c r="DE130" s="68" t="e">
        <f t="shared" si="159"/>
        <v>#DIV/0!</v>
      </c>
      <c r="DF130" s="68" t="e">
        <f t="shared" si="199"/>
        <v>#DIV/0!</v>
      </c>
      <c r="DG130" s="68">
        <f t="shared" si="160"/>
        <v>0.45480516874807669</v>
      </c>
      <c r="DH130" s="68">
        <f t="shared" si="161"/>
        <v>1.3986079121535113</v>
      </c>
      <c r="DI130" s="68">
        <f t="shared" si="162"/>
        <v>4.7123889803846897</v>
      </c>
      <c r="DJ130" s="68" t="e">
        <f t="shared" si="163"/>
        <v>#DIV/0!</v>
      </c>
      <c r="DK130" s="68" t="e">
        <f t="shared" si="164"/>
        <v>#DIV/0!</v>
      </c>
      <c r="DL130" s="68" t="e">
        <f t="shared" si="165"/>
        <v>#DIV/0!</v>
      </c>
      <c r="DM130" s="68" t="e">
        <f t="shared" si="166"/>
        <v>#DIV/0!</v>
      </c>
      <c r="DN130" s="68" t="e">
        <f t="shared" si="167"/>
        <v>#DIV/0!</v>
      </c>
      <c r="DO130" s="68" t="e">
        <f t="shared" si="168"/>
        <v>#DIV/0!</v>
      </c>
      <c r="DP130" s="68" t="e">
        <f t="shared" si="169"/>
        <v>#DIV/0!</v>
      </c>
      <c r="DQ130" s="68" t="e">
        <f t="shared" si="170"/>
        <v>#DIV/0!</v>
      </c>
      <c r="DR130" s="68" t="e">
        <f t="shared" si="171"/>
        <v>#DIV/0!</v>
      </c>
      <c r="DS130" s="68" t="e">
        <f t="shared" si="172"/>
        <v>#DIV/0!</v>
      </c>
      <c r="DT130" s="68" t="e">
        <f t="shared" si="173"/>
        <v>#DIV/0!</v>
      </c>
      <c r="DU130" s="68" t="e">
        <f t="shared" si="200"/>
        <v>#DIV/0!</v>
      </c>
      <c r="DV130" s="68" t="e">
        <f t="shared" si="174"/>
        <v>#DIV/0!</v>
      </c>
      <c r="DW130" s="68" t="e">
        <f t="shared" si="201"/>
        <v>#DIV/0!</v>
      </c>
      <c r="DX130" s="68">
        <f t="shared" si="175"/>
        <v>26.05841667</v>
      </c>
      <c r="DY130" s="68">
        <f t="shared" si="176"/>
        <v>80.134330559999995</v>
      </c>
      <c r="DZ130" s="68" t="e">
        <f t="shared" si="177"/>
        <v>#DIV/0!</v>
      </c>
      <c r="EA130" s="68" t="e">
        <f t="shared" si="178"/>
        <v>#DIV/0!</v>
      </c>
      <c r="EB130" s="68" t="e">
        <f t="shared" si="179"/>
        <v>#DIV/0!</v>
      </c>
      <c r="EC130" s="68" t="e">
        <f t="shared" si="180"/>
        <v>#DIV/0!</v>
      </c>
      <c r="ED130" s="68" t="e">
        <f t="shared" si="181"/>
        <v>#DIV/0!</v>
      </c>
      <c r="EE130" s="68" t="e">
        <f t="shared" si="182"/>
        <v>#DIV/0!</v>
      </c>
      <c r="EF130" s="68" t="e">
        <f t="shared" si="183"/>
        <v>#DIV/0!</v>
      </c>
      <c r="EG130" s="68" t="e">
        <f t="shared" si="184"/>
        <v>#DIV/0!</v>
      </c>
      <c r="EH130" s="68" t="e">
        <f t="shared" si="202"/>
        <v>#DIV/0!</v>
      </c>
      <c r="EI130" s="68" t="e">
        <f t="shared" si="185"/>
        <v>#DIV/0!</v>
      </c>
      <c r="EJ130" s="68" t="e">
        <f t="shared" si="186"/>
        <v>#DIV/0!</v>
      </c>
      <c r="EK130" s="68" t="e">
        <f t="shared" si="187"/>
        <v>#DIV/0!</v>
      </c>
      <c r="EL130" s="68" t="e">
        <f t="shared" si="188"/>
        <v>#DIV/0!</v>
      </c>
      <c r="EM130" s="68" t="e">
        <f t="shared" si="189"/>
        <v>#DIV/0!</v>
      </c>
      <c r="EN130" s="68" t="e">
        <f t="shared" si="190"/>
        <v>#DIV/0!</v>
      </c>
      <c r="EO130" s="68" t="e">
        <f t="shared" si="191"/>
        <v>#DIV/0!</v>
      </c>
      <c r="EP130" s="68" t="e">
        <f t="shared" si="192"/>
        <v>#DIV/0!</v>
      </c>
      <c r="EQ130" s="68" t="e">
        <f t="shared" si="193"/>
        <v>#DIV/0!</v>
      </c>
      <c r="ER130" s="68" t="e">
        <f t="shared" si="203"/>
        <v>#DIV/0!</v>
      </c>
    </row>
    <row r="131" spans="82:148" x14ac:dyDescent="0.25">
      <c r="CD131" s="68" t="s">
        <v>654</v>
      </c>
      <c r="CE131" s="69">
        <f t="shared" si="196"/>
        <v>260330.3</v>
      </c>
      <c r="CF131" s="69">
        <f t="shared" si="197"/>
        <v>800803.59</v>
      </c>
      <c r="CG131" s="70">
        <f t="shared" si="138"/>
        <v>270</v>
      </c>
      <c r="CH131" s="69">
        <f t="shared" si="194"/>
        <v>260330.30001199999</v>
      </c>
      <c r="CI131" s="69">
        <f t="shared" si="195"/>
        <v>800803.59001599997</v>
      </c>
      <c r="CJ131" s="68">
        <f t="shared" si="139"/>
        <v>26.05841667</v>
      </c>
      <c r="CK131" s="68">
        <f t="shared" si="140"/>
        <v>80.134330559999995</v>
      </c>
      <c r="CL131" s="68">
        <f t="shared" si="141"/>
        <v>26.05841667</v>
      </c>
      <c r="CM131" s="68">
        <f t="shared" si="142"/>
        <v>80.134330559999995</v>
      </c>
      <c r="CN131" s="68">
        <f t="shared" si="143"/>
        <v>0</v>
      </c>
      <c r="CO131" s="68">
        <f t="shared" si="144"/>
        <v>0</v>
      </c>
      <c r="CP131" s="68">
        <f t="shared" si="145"/>
        <v>0.43928729614546391</v>
      </c>
      <c r="CQ131" s="68">
        <f t="shared" si="146"/>
        <v>1.0027157713556663</v>
      </c>
      <c r="CR131" s="68">
        <f t="shared" si="147"/>
        <v>0</v>
      </c>
      <c r="CS131" s="68">
        <f t="shared" si="148"/>
        <v>0.48899531699999998</v>
      </c>
      <c r="CT131" s="68">
        <f t="shared" si="198"/>
        <v>0.23911642</v>
      </c>
      <c r="CU131" s="68">
        <f t="shared" si="149"/>
        <v>0</v>
      </c>
      <c r="CV131" s="68">
        <f t="shared" si="150"/>
        <v>0</v>
      </c>
      <c r="CW131" s="68">
        <f t="shared" si="151"/>
        <v>0</v>
      </c>
      <c r="CX131" s="68">
        <f t="shared" si="152"/>
        <v>0</v>
      </c>
      <c r="CY131" s="68">
        <f t="shared" si="153"/>
        <v>0</v>
      </c>
      <c r="CZ131" s="68" t="e">
        <f t="shared" si="154"/>
        <v>#DIV/0!</v>
      </c>
      <c r="DA131" s="68" t="e">
        <f t="shared" si="155"/>
        <v>#DIV/0!</v>
      </c>
      <c r="DB131" s="68" t="e">
        <f t="shared" si="156"/>
        <v>#DIV/0!</v>
      </c>
      <c r="DC131" s="68" t="e">
        <f t="shared" si="157"/>
        <v>#DIV/0!</v>
      </c>
      <c r="DD131" s="68" t="e">
        <f t="shared" si="158"/>
        <v>#DIV/0!</v>
      </c>
      <c r="DE131" s="68" t="e">
        <f t="shared" si="159"/>
        <v>#DIV/0!</v>
      </c>
      <c r="DF131" s="68" t="e">
        <f t="shared" si="199"/>
        <v>#DIV/0!</v>
      </c>
      <c r="DG131" s="68">
        <f t="shared" si="160"/>
        <v>0.45480516874807669</v>
      </c>
      <c r="DH131" s="68">
        <f t="shared" si="161"/>
        <v>1.3986079121535113</v>
      </c>
      <c r="DI131" s="68">
        <f t="shared" si="162"/>
        <v>4.7123889803846897</v>
      </c>
      <c r="DJ131" s="68" t="e">
        <f t="shared" si="163"/>
        <v>#DIV/0!</v>
      </c>
      <c r="DK131" s="68" t="e">
        <f t="shared" si="164"/>
        <v>#DIV/0!</v>
      </c>
      <c r="DL131" s="68" t="e">
        <f t="shared" si="165"/>
        <v>#DIV/0!</v>
      </c>
      <c r="DM131" s="68" t="e">
        <f t="shared" si="166"/>
        <v>#DIV/0!</v>
      </c>
      <c r="DN131" s="68" t="e">
        <f t="shared" si="167"/>
        <v>#DIV/0!</v>
      </c>
      <c r="DO131" s="68" t="e">
        <f t="shared" si="168"/>
        <v>#DIV/0!</v>
      </c>
      <c r="DP131" s="68" t="e">
        <f t="shared" si="169"/>
        <v>#DIV/0!</v>
      </c>
      <c r="DQ131" s="68" t="e">
        <f t="shared" si="170"/>
        <v>#DIV/0!</v>
      </c>
      <c r="DR131" s="68" t="e">
        <f t="shared" si="171"/>
        <v>#DIV/0!</v>
      </c>
      <c r="DS131" s="68" t="e">
        <f t="shared" si="172"/>
        <v>#DIV/0!</v>
      </c>
      <c r="DT131" s="68" t="e">
        <f t="shared" si="173"/>
        <v>#DIV/0!</v>
      </c>
      <c r="DU131" s="68" t="e">
        <f t="shared" si="200"/>
        <v>#DIV/0!</v>
      </c>
      <c r="DV131" s="68" t="e">
        <f t="shared" si="174"/>
        <v>#DIV/0!</v>
      </c>
      <c r="DW131" s="68" t="e">
        <f t="shared" si="201"/>
        <v>#DIV/0!</v>
      </c>
      <c r="DX131" s="68">
        <f t="shared" si="175"/>
        <v>26.05841667</v>
      </c>
      <c r="DY131" s="68">
        <f t="shared" si="176"/>
        <v>80.134330559999995</v>
      </c>
      <c r="DZ131" s="68" t="e">
        <f t="shared" si="177"/>
        <v>#DIV/0!</v>
      </c>
      <c r="EA131" s="68" t="e">
        <f t="shared" si="178"/>
        <v>#DIV/0!</v>
      </c>
      <c r="EB131" s="68" t="e">
        <f t="shared" si="179"/>
        <v>#DIV/0!</v>
      </c>
      <c r="EC131" s="68" t="e">
        <f t="shared" si="180"/>
        <v>#DIV/0!</v>
      </c>
      <c r="ED131" s="68" t="e">
        <f t="shared" si="181"/>
        <v>#DIV/0!</v>
      </c>
      <c r="EE131" s="68" t="e">
        <f t="shared" si="182"/>
        <v>#DIV/0!</v>
      </c>
      <c r="EF131" s="68" t="e">
        <f t="shared" si="183"/>
        <v>#DIV/0!</v>
      </c>
      <c r="EG131" s="68" t="e">
        <f t="shared" si="184"/>
        <v>#DIV/0!</v>
      </c>
      <c r="EH131" s="68" t="e">
        <f t="shared" si="202"/>
        <v>#DIV/0!</v>
      </c>
      <c r="EI131" s="68" t="e">
        <f t="shared" si="185"/>
        <v>#DIV/0!</v>
      </c>
      <c r="EJ131" s="68" t="e">
        <f t="shared" si="186"/>
        <v>#DIV/0!</v>
      </c>
      <c r="EK131" s="68" t="e">
        <f t="shared" si="187"/>
        <v>#DIV/0!</v>
      </c>
      <c r="EL131" s="68" t="e">
        <f t="shared" si="188"/>
        <v>#DIV/0!</v>
      </c>
      <c r="EM131" s="68" t="e">
        <f t="shared" si="189"/>
        <v>#DIV/0!</v>
      </c>
      <c r="EN131" s="68" t="e">
        <f t="shared" si="190"/>
        <v>#DIV/0!</v>
      </c>
      <c r="EO131" s="68" t="e">
        <f t="shared" si="191"/>
        <v>#DIV/0!</v>
      </c>
      <c r="EP131" s="68" t="e">
        <f t="shared" si="192"/>
        <v>#DIV/0!</v>
      </c>
      <c r="EQ131" s="68" t="e">
        <f t="shared" si="193"/>
        <v>#DIV/0!</v>
      </c>
      <c r="ER131" s="68" t="e">
        <f t="shared" si="203"/>
        <v>#DIV/0!</v>
      </c>
    </row>
    <row r="132" spans="82:148" x14ac:dyDescent="0.25">
      <c r="CD132" s="68" t="s">
        <v>655</v>
      </c>
      <c r="CE132" s="69">
        <f t="shared" si="196"/>
        <v>260330.3</v>
      </c>
      <c r="CF132" s="69">
        <f t="shared" si="197"/>
        <v>800803.59</v>
      </c>
      <c r="CG132" s="70">
        <f t="shared" si="138"/>
        <v>270</v>
      </c>
      <c r="CH132" s="69">
        <f t="shared" si="194"/>
        <v>260330.30001199999</v>
      </c>
      <c r="CI132" s="69">
        <f t="shared" si="195"/>
        <v>800803.59001599997</v>
      </c>
      <c r="CJ132" s="68">
        <f t="shared" si="139"/>
        <v>26.05841667</v>
      </c>
      <c r="CK132" s="68">
        <f t="shared" si="140"/>
        <v>80.134330559999995</v>
      </c>
      <c r="CL132" s="68">
        <f t="shared" si="141"/>
        <v>26.05841667</v>
      </c>
      <c r="CM132" s="68">
        <f t="shared" si="142"/>
        <v>80.134330559999995</v>
      </c>
      <c r="CN132" s="68">
        <f t="shared" si="143"/>
        <v>0</v>
      </c>
      <c r="CO132" s="68">
        <f t="shared" si="144"/>
        <v>0</v>
      </c>
      <c r="CP132" s="68">
        <f t="shared" si="145"/>
        <v>0.43928729614546391</v>
      </c>
      <c r="CQ132" s="68">
        <f t="shared" si="146"/>
        <v>1.0027157713556663</v>
      </c>
      <c r="CR132" s="68">
        <f t="shared" si="147"/>
        <v>0</v>
      </c>
      <c r="CS132" s="68">
        <f t="shared" si="148"/>
        <v>0.48899531699999998</v>
      </c>
      <c r="CT132" s="68">
        <f t="shared" si="198"/>
        <v>0.23911642</v>
      </c>
      <c r="CU132" s="68">
        <f t="shared" si="149"/>
        <v>0</v>
      </c>
      <c r="CV132" s="68">
        <f t="shared" si="150"/>
        <v>0</v>
      </c>
      <c r="CW132" s="68">
        <f t="shared" si="151"/>
        <v>0</v>
      </c>
      <c r="CX132" s="68">
        <f t="shared" si="152"/>
        <v>0</v>
      </c>
      <c r="CY132" s="68">
        <f t="shared" si="153"/>
        <v>0</v>
      </c>
      <c r="CZ132" s="68" t="e">
        <f t="shared" si="154"/>
        <v>#DIV/0!</v>
      </c>
      <c r="DA132" s="68" t="e">
        <f t="shared" si="155"/>
        <v>#DIV/0!</v>
      </c>
      <c r="DB132" s="68" t="e">
        <f t="shared" si="156"/>
        <v>#DIV/0!</v>
      </c>
      <c r="DC132" s="68" t="e">
        <f t="shared" si="157"/>
        <v>#DIV/0!</v>
      </c>
      <c r="DD132" s="68" t="e">
        <f t="shared" si="158"/>
        <v>#DIV/0!</v>
      </c>
      <c r="DE132" s="68" t="e">
        <f t="shared" si="159"/>
        <v>#DIV/0!</v>
      </c>
      <c r="DF132" s="68" t="e">
        <f t="shared" si="199"/>
        <v>#DIV/0!</v>
      </c>
      <c r="DG132" s="68">
        <f t="shared" si="160"/>
        <v>0.45480516874807669</v>
      </c>
      <c r="DH132" s="68">
        <f t="shared" si="161"/>
        <v>1.3986079121535113</v>
      </c>
      <c r="DI132" s="68">
        <f t="shared" si="162"/>
        <v>4.7123889803846897</v>
      </c>
      <c r="DJ132" s="68" t="e">
        <f t="shared" si="163"/>
        <v>#DIV/0!</v>
      </c>
      <c r="DK132" s="68" t="e">
        <f t="shared" si="164"/>
        <v>#DIV/0!</v>
      </c>
      <c r="DL132" s="68" t="e">
        <f t="shared" si="165"/>
        <v>#DIV/0!</v>
      </c>
      <c r="DM132" s="68" t="e">
        <f t="shared" si="166"/>
        <v>#DIV/0!</v>
      </c>
      <c r="DN132" s="68" t="e">
        <f t="shared" si="167"/>
        <v>#DIV/0!</v>
      </c>
      <c r="DO132" s="68" t="e">
        <f t="shared" si="168"/>
        <v>#DIV/0!</v>
      </c>
      <c r="DP132" s="68" t="e">
        <f t="shared" si="169"/>
        <v>#DIV/0!</v>
      </c>
      <c r="DQ132" s="68" t="e">
        <f t="shared" si="170"/>
        <v>#DIV/0!</v>
      </c>
      <c r="DR132" s="68" t="e">
        <f t="shared" si="171"/>
        <v>#DIV/0!</v>
      </c>
      <c r="DS132" s="68" t="e">
        <f t="shared" si="172"/>
        <v>#DIV/0!</v>
      </c>
      <c r="DT132" s="68" t="e">
        <f t="shared" si="173"/>
        <v>#DIV/0!</v>
      </c>
      <c r="DU132" s="68" t="e">
        <f t="shared" si="200"/>
        <v>#DIV/0!</v>
      </c>
      <c r="DV132" s="68" t="e">
        <f t="shared" si="174"/>
        <v>#DIV/0!</v>
      </c>
      <c r="DW132" s="68" t="e">
        <f t="shared" si="201"/>
        <v>#DIV/0!</v>
      </c>
      <c r="DX132" s="68">
        <f t="shared" si="175"/>
        <v>26.05841667</v>
      </c>
      <c r="DY132" s="68">
        <f t="shared" si="176"/>
        <v>80.134330559999995</v>
      </c>
      <c r="DZ132" s="68" t="e">
        <f t="shared" si="177"/>
        <v>#DIV/0!</v>
      </c>
      <c r="EA132" s="68" t="e">
        <f t="shared" si="178"/>
        <v>#DIV/0!</v>
      </c>
      <c r="EB132" s="68" t="e">
        <f t="shared" si="179"/>
        <v>#DIV/0!</v>
      </c>
      <c r="EC132" s="68" t="e">
        <f t="shared" si="180"/>
        <v>#DIV/0!</v>
      </c>
      <c r="ED132" s="68" t="e">
        <f t="shared" si="181"/>
        <v>#DIV/0!</v>
      </c>
      <c r="EE132" s="68" t="e">
        <f t="shared" si="182"/>
        <v>#DIV/0!</v>
      </c>
      <c r="EF132" s="68" t="e">
        <f t="shared" si="183"/>
        <v>#DIV/0!</v>
      </c>
      <c r="EG132" s="68" t="e">
        <f t="shared" si="184"/>
        <v>#DIV/0!</v>
      </c>
      <c r="EH132" s="68" t="e">
        <f t="shared" si="202"/>
        <v>#DIV/0!</v>
      </c>
      <c r="EI132" s="68" t="e">
        <f t="shared" si="185"/>
        <v>#DIV/0!</v>
      </c>
      <c r="EJ132" s="68" t="e">
        <f t="shared" si="186"/>
        <v>#DIV/0!</v>
      </c>
      <c r="EK132" s="68" t="e">
        <f t="shared" si="187"/>
        <v>#DIV/0!</v>
      </c>
      <c r="EL132" s="68" t="e">
        <f t="shared" si="188"/>
        <v>#DIV/0!</v>
      </c>
      <c r="EM132" s="68" t="e">
        <f t="shared" si="189"/>
        <v>#DIV/0!</v>
      </c>
      <c r="EN132" s="68" t="e">
        <f t="shared" si="190"/>
        <v>#DIV/0!</v>
      </c>
      <c r="EO132" s="68" t="e">
        <f t="shared" si="191"/>
        <v>#DIV/0!</v>
      </c>
      <c r="EP132" s="68" t="e">
        <f t="shared" si="192"/>
        <v>#DIV/0!</v>
      </c>
      <c r="EQ132" s="68" t="e">
        <f t="shared" si="193"/>
        <v>#DIV/0!</v>
      </c>
      <c r="ER132" s="68" t="e">
        <f t="shared" si="203"/>
        <v>#DIV/0!</v>
      </c>
    </row>
    <row r="133" spans="82:148" x14ac:dyDescent="0.25">
      <c r="CD133" s="68" t="s">
        <v>656</v>
      </c>
      <c r="CE133" s="69">
        <f t="shared" si="196"/>
        <v>260330.3</v>
      </c>
      <c r="CF133" s="69">
        <f t="shared" si="197"/>
        <v>800803.59</v>
      </c>
      <c r="CG133" s="70">
        <f t="shared" si="138"/>
        <v>270</v>
      </c>
      <c r="CH133" s="69">
        <f t="shared" si="194"/>
        <v>260330.30001199999</v>
      </c>
      <c r="CI133" s="69">
        <f t="shared" si="195"/>
        <v>800803.59001599997</v>
      </c>
      <c r="CJ133" s="68">
        <f t="shared" si="139"/>
        <v>26.05841667</v>
      </c>
      <c r="CK133" s="68">
        <f t="shared" si="140"/>
        <v>80.134330559999995</v>
      </c>
      <c r="CL133" s="68">
        <f t="shared" si="141"/>
        <v>26.05841667</v>
      </c>
      <c r="CM133" s="68">
        <f t="shared" si="142"/>
        <v>80.134330559999995</v>
      </c>
      <c r="CN133" s="68">
        <f t="shared" si="143"/>
        <v>0</v>
      </c>
      <c r="CO133" s="68">
        <f t="shared" si="144"/>
        <v>0</v>
      </c>
      <c r="CP133" s="68">
        <f t="shared" si="145"/>
        <v>0.43928729614546391</v>
      </c>
      <c r="CQ133" s="68">
        <f t="shared" si="146"/>
        <v>1.0027157713556663</v>
      </c>
      <c r="CR133" s="68">
        <f t="shared" si="147"/>
        <v>0</v>
      </c>
      <c r="CS133" s="68">
        <f t="shared" si="148"/>
        <v>0.48899531699999998</v>
      </c>
      <c r="CT133" s="68">
        <f t="shared" si="198"/>
        <v>0.23911642</v>
      </c>
      <c r="CU133" s="68">
        <f t="shared" si="149"/>
        <v>0</v>
      </c>
      <c r="CV133" s="68">
        <f t="shared" si="150"/>
        <v>0</v>
      </c>
      <c r="CW133" s="68">
        <f t="shared" si="151"/>
        <v>0</v>
      </c>
      <c r="CX133" s="68">
        <f t="shared" si="152"/>
        <v>0</v>
      </c>
      <c r="CY133" s="68">
        <f t="shared" si="153"/>
        <v>0</v>
      </c>
      <c r="CZ133" s="68" t="e">
        <f t="shared" si="154"/>
        <v>#DIV/0!</v>
      </c>
      <c r="DA133" s="68" t="e">
        <f t="shared" si="155"/>
        <v>#DIV/0!</v>
      </c>
      <c r="DB133" s="68" t="e">
        <f t="shared" si="156"/>
        <v>#DIV/0!</v>
      </c>
      <c r="DC133" s="68" t="e">
        <f t="shared" si="157"/>
        <v>#DIV/0!</v>
      </c>
      <c r="DD133" s="68" t="e">
        <f t="shared" si="158"/>
        <v>#DIV/0!</v>
      </c>
      <c r="DE133" s="68" t="e">
        <f t="shared" si="159"/>
        <v>#DIV/0!</v>
      </c>
      <c r="DF133" s="68" t="e">
        <f t="shared" si="199"/>
        <v>#DIV/0!</v>
      </c>
      <c r="DG133" s="68">
        <f t="shared" si="160"/>
        <v>0.45480516874807669</v>
      </c>
      <c r="DH133" s="68">
        <f t="shared" si="161"/>
        <v>1.3986079121535113</v>
      </c>
      <c r="DI133" s="68">
        <f t="shared" si="162"/>
        <v>4.7123889803846897</v>
      </c>
      <c r="DJ133" s="68" t="e">
        <f t="shared" si="163"/>
        <v>#DIV/0!</v>
      </c>
      <c r="DK133" s="68" t="e">
        <f t="shared" si="164"/>
        <v>#DIV/0!</v>
      </c>
      <c r="DL133" s="68" t="e">
        <f t="shared" si="165"/>
        <v>#DIV/0!</v>
      </c>
      <c r="DM133" s="68" t="e">
        <f t="shared" si="166"/>
        <v>#DIV/0!</v>
      </c>
      <c r="DN133" s="68" t="e">
        <f t="shared" si="167"/>
        <v>#DIV/0!</v>
      </c>
      <c r="DO133" s="68" t="e">
        <f t="shared" si="168"/>
        <v>#DIV/0!</v>
      </c>
      <c r="DP133" s="68" t="e">
        <f t="shared" si="169"/>
        <v>#DIV/0!</v>
      </c>
      <c r="DQ133" s="68" t="e">
        <f t="shared" si="170"/>
        <v>#DIV/0!</v>
      </c>
      <c r="DR133" s="68" t="e">
        <f t="shared" si="171"/>
        <v>#DIV/0!</v>
      </c>
      <c r="DS133" s="68" t="e">
        <f t="shared" si="172"/>
        <v>#DIV/0!</v>
      </c>
      <c r="DT133" s="68" t="e">
        <f t="shared" si="173"/>
        <v>#DIV/0!</v>
      </c>
      <c r="DU133" s="68" t="e">
        <f t="shared" si="200"/>
        <v>#DIV/0!</v>
      </c>
      <c r="DV133" s="68" t="e">
        <f t="shared" si="174"/>
        <v>#DIV/0!</v>
      </c>
      <c r="DW133" s="68" t="e">
        <f t="shared" si="201"/>
        <v>#DIV/0!</v>
      </c>
      <c r="DX133" s="68">
        <f t="shared" si="175"/>
        <v>26.05841667</v>
      </c>
      <c r="DY133" s="68">
        <f t="shared" si="176"/>
        <v>80.134330559999995</v>
      </c>
      <c r="DZ133" s="68" t="e">
        <f t="shared" si="177"/>
        <v>#DIV/0!</v>
      </c>
      <c r="EA133" s="68" t="e">
        <f t="shared" si="178"/>
        <v>#DIV/0!</v>
      </c>
      <c r="EB133" s="68" t="e">
        <f t="shared" si="179"/>
        <v>#DIV/0!</v>
      </c>
      <c r="EC133" s="68" t="e">
        <f t="shared" si="180"/>
        <v>#DIV/0!</v>
      </c>
      <c r="ED133" s="68" t="e">
        <f t="shared" si="181"/>
        <v>#DIV/0!</v>
      </c>
      <c r="EE133" s="68" t="e">
        <f t="shared" si="182"/>
        <v>#DIV/0!</v>
      </c>
      <c r="EF133" s="68" t="e">
        <f t="shared" si="183"/>
        <v>#DIV/0!</v>
      </c>
      <c r="EG133" s="68" t="e">
        <f t="shared" si="184"/>
        <v>#DIV/0!</v>
      </c>
      <c r="EH133" s="68" t="e">
        <f t="shared" si="202"/>
        <v>#DIV/0!</v>
      </c>
      <c r="EI133" s="68" t="e">
        <f t="shared" si="185"/>
        <v>#DIV/0!</v>
      </c>
      <c r="EJ133" s="68" t="e">
        <f t="shared" si="186"/>
        <v>#DIV/0!</v>
      </c>
      <c r="EK133" s="68" t="e">
        <f t="shared" si="187"/>
        <v>#DIV/0!</v>
      </c>
      <c r="EL133" s="68" t="e">
        <f t="shared" si="188"/>
        <v>#DIV/0!</v>
      </c>
      <c r="EM133" s="68" t="e">
        <f t="shared" si="189"/>
        <v>#DIV/0!</v>
      </c>
      <c r="EN133" s="68" t="e">
        <f t="shared" si="190"/>
        <v>#DIV/0!</v>
      </c>
      <c r="EO133" s="68" t="e">
        <f t="shared" si="191"/>
        <v>#DIV/0!</v>
      </c>
      <c r="EP133" s="68" t="e">
        <f t="shared" si="192"/>
        <v>#DIV/0!</v>
      </c>
      <c r="EQ133" s="68" t="e">
        <f t="shared" si="193"/>
        <v>#DIV/0!</v>
      </c>
      <c r="ER133" s="68" t="e">
        <f t="shared" si="203"/>
        <v>#DIV/0!</v>
      </c>
    </row>
    <row r="134" spans="82:148" x14ac:dyDescent="0.25">
      <c r="CD134" s="68" t="s">
        <v>657</v>
      </c>
      <c r="CE134" s="69">
        <f t="shared" si="196"/>
        <v>260330.3</v>
      </c>
      <c r="CF134" s="69">
        <f t="shared" si="197"/>
        <v>800803.59</v>
      </c>
      <c r="CG134" s="70">
        <f t="shared" si="138"/>
        <v>270</v>
      </c>
      <c r="CH134" s="69">
        <f t="shared" si="194"/>
        <v>260330.30001199999</v>
      </c>
      <c r="CI134" s="69">
        <f t="shared" si="195"/>
        <v>800803.59001599997</v>
      </c>
      <c r="CJ134" s="68">
        <f t="shared" si="139"/>
        <v>26.05841667</v>
      </c>
      <c r="CK134" s="68">
        <f t="shared" si="140"/>
        <v>80.134330559999995</v>
      </c>
      <c r="CL134" s="68">
        <f t="shared" si="141"/>
        <v>26.05841667</v>
      </c>
      <c r="CM134" s="68">
        <f t="shared" si="142"/>
        <v>80.134330559999995</v>
      </c>
      <c r="CN134" s="68">
        <f t="shared" si="143"/>
        <v>0</v>
      </c>
      <c r="CO134" s="68">
        <f t="shared" si="144"/>
        <v>0</v>
      </c>
      <c r="CP134" s="68">
        <f t="shared" si="145"/>
        <v>0.43928729614546391</v>
      </c>
      <c r="CQ134" s="68">
        <f t="shared" si="146"/>
        <v>1.0027157713556663</v>
      </c>
      <c r="CR134" s="68">
        <f t="shared" si="147"/>
        <v>0</v>
      </c>
      <c r="CS134" s="68">
        <f t="shared" si="148"/>
        <v>0.48899531699999998</v>
      </c>
      <c r="CT134" s="68">
        <f t="shared" si="198"/>
        <v>0.23911642</v>
      </c>
      <c r="CU134" s="68">
        <f t="shared" si="149"/>
        <v>0</v>
      </c>
      <c r="CV134" s="68">
        <f t="shared" si="150"/>
        <v>0</v>
      </c>
      <c r="CW134" s="68">
        <f t="shared" si="151"/>
        <v>0</v>
      </c>
      <c r="CX134" s="68">
        <f t="shared" si="152"/>
        <v>0</v>
      </c>
      <c r="CY134" s="68">
        <f t="shared" si="153"/>
        <v>0</v>
      </c>
      <c r="CZ134" s="68" t="e">
        <f t="shared" si="154"/>
        <v>#DIV/0!</v>
      </c>
      <c r="DA134" s="68" t="e">
        <f t="shared" si="155"/>
        <v>#DIV/0!</v>
      </c>
      <c r="DB134" s="68" t="e">
        <f t="shared" si="156"/>
        <v>#DIV/0!</v>
      </c>
      <c r="DC134" s="68" t="e">
        <f t="shared" si="157"/>
        <v>#DIV/0!</v>
      </c>
      <c r="DD134" s="68" t="e">
        <f t="shared" si="158"/>
        <v>#DIV/0!</v>
      </c>
      <c r="DE134" s="68" t="e">
        <f t="shared" si="159"/>
        <v>#DIV/0!</v>
      </c>
      <c r="DF134" s="68" t="e">
        <f t="shared" si="199"/>
        <v>#DIV/0!</v>
      </c>
      <c r="DG134" s="68">
        <f t="shared" si="160"/>
        <v>0.45480516874807669</v>
      </c>
      <c r="DH134" s="68">
        <f t="shared" si="161"/>
        <v>1.3986079121535113</v>
      </c>
      <c r="DI134" s="68">
        <f t="shared" si="162"/>
        <v>4.7123889803846897</v>
      </c>
      <c r="DJ134" s="68" t="e">
        <f t="shared" si="163"/>
        <v>#DIV/0!</v>
      </c>
      <c r="DK134" s="68" t="e">
        <f t="shared" si="164"/>
        <v>#DIV/0!</v>
      </c>
      <c r="DL134" s="68" t="e">
        <f t="shared" si="165"/>
        <v>#DIV/0!</v>
      </c>
      <c r="DM134" s="68" t="e">
        <f t="shared" si="166"/>
        <v>#DIV/0!</v>
      </c>
      <c r="DN134" s="68" t="e">
        <f t="shared" si="167"/>
        <v>#DIV/0!</v>
      </c>
      <c r="DO134" s="68" t="e">
        <f t="shared" si="168"/>
        <v>#DIV/0!</v>
      </c>
      <c r="DP134" s="68" t="e">
        <f t="shared" si="169"/>
        <v>#DIV/0!</v>
      </c>
      <c r="DQ134" s="68" t="e">
        <f t="shared" si="170"/>
        <v>#DIV/0!</v>
      </c>
      <c r="DR134" s="68" t="e">
        <f t="shared" si="171"/>
        <v>#DIV/0!</v>
      </c>
      <c r="DS134" s="68" t="e">
        <f t="shared" si="172"/>
        <v>#DIV/0!</v>
      </c>
      <c r="DT134" s="68" t="e">
        <f t="shared" si="173"/>
        <v>#DIV/0!</v>
      </c>
      <c r="DU134" s="68" t="e">
        <f t="shared" si="200"/>
        <v>#DIV/0!</v>
      </c>
      <c r="DV134" s="68" t="e">
        <f t="shared" si="174"/>
        <v>#DIV/0!</v>
      </c>
      <c r="DW134" s="68" t="e">
        <f t="shared" si="201"/>
        <v>#DIV/0!</v>
      </c>
      <c r="DX134" s="68">
        <f t="shared" si="175"/>
        <v>26.05841667</v>
      </c>
      <c r="DY134" s="68">
        <f t="shared" si="176"/>
        <v>80.134330559999995</v>
      </c>
      <c r="DZ134" s="68" t="e">
        <f t="shared" si="177"/>
        <v>#DIV/0!</v>
      </c>
      <c r="EA134" s="68" t="e">
        <f t="shared" si="178"/>
        <v>#DIV/0!</v>
      </c>
      <c r="EB134" s="68" t="e">
        <f t="shared" si="179"/>
        <v>#DIV/0!</v>
      </c>
      <c r="EC134" s="68" t="e">
        <f t="shared" si="180"/>
        <v>#DIV/0!</v>
      </c>
      <c r="ED134" s="68" t="e">
        <f t="shared" si="181"/>
        <v>#DIV/0!</v>
      </c>
      <c r="EE134" s="68" t="e">
        <f t="shared" si="182"/>
        <v>#DIV/0!</v>
      </c>
      <c r="EF134" s="68" t="e">
        <f t="shared" si="183"/>
        <v>#DIV/0!</v>
      </c>
      <c r="EG134" s="68" t="e">
        <f t="shared" si="184"/>
        <v>#DIV/0!</v>
      </c>
      <c r="EH134" s="68" t="e">
        <f t="shared" si="202"/>
        <v>#DIV/0!</v>
      </c>
      <c r="EI134" s="68" t="e">
        <f t="shared" si="185"/>
        <v>#DIV/0!</v>
      </c>
      <c r="EJ134" s="68" t="e">
        <f t="shared" si="186"/>
        <v>#DIV/0!</v>
      </c>
      <c r="EK134" s="68" t="e">
        <f t="shared" si="187"/>
        <v>#DIV/0!</v>
      </c>
      <c r="EL134" s="68" t="e">
        <f t="shared" si="188"/>
        <v>#DIV/0!</v>
      </c>
      <c r="EM134" s="68" t="e">
        <f t="shared" si="189"/>
        <v>#DIV/0!</v>
      </c>
      <c r="EN134" s="68" t="e">
        <f t="shared" si="190"/>
        <v>#DIV/0!</v>
      </c>
      <c r="EO134" s="68" t="e">
        <f t="shared" si="191"/>
        <v>#DIV/0!</v>
      </c>
      <c r="EP134" s="68" t="e">
        <f t="shared" si="192"/>
        <v>#DIV/0!</v>
      </c>
      <c r="EQ134" s="68" t="e">
        <f t="shared" si="193"/>
        <v>#DIV/0!</v>
      </c>
      <c r="ER134" s="68" t="e">
        <f t="shared" si="203"/>
        <v>#DIV/0!</v>
      </c>
    </row>
    <row r="135" spans="82:148" x14ac:dyDescent="0.25">
      <c r="CD135" s="68" t="s">
        <v>658</v>
      </c>
      <c r="CE135" s="69">
        <f t="shared" si="196"/>
        <v>260330.3</v>
      </c>
      <c r="CF135" s="69">
        <f t="shared" si="197"/>
        <v>800803.59</v>
      </c>
      <c r="CG135" s="70">
        <f t="shared" si="138"/>
        <v>270</v>
      </c>
      <c r="CH135" s="69">
        <f t="shared" si="194"/>
        <v>260330.30001199999</v>
      </c>
      <c r="CI135" s="69">
        <f t="shared" si="195"/>
        <v>800803.59001599997</v>
      </c>
      <c r="CJ135" s="68">
        <f t="shared" si="139"/>
        <v>26.05841667</v>
      </c>
      <c r="CK135" s="68">
        <f t="shared" si="140"/>
        <v>80.134330559999995</v>
      </c>
      <c r="CL135" s="68">
        <f t="shared" si="141"/>
        <v>26.05841667</v>
      </c>
      <c r="CM135" s="68">
        <f t="shared" si="142"/>
        <v>80.134330559999995</v>
      </c>
      <c r="CN135" s="68">
        <f t="shared" si="143"/>
        <v>0</v>
      </c>
      <c r="CO135" s="68">
        <f t="shared" si="144"/>
        <v>0</v>
      </c>
      <c r="CP135" s="68">
        <f t="shared" si="145"/>
        <v>0.43928729614546391</v>
      </c>
      <c r="CQ135" s="68">
        <f t="shared" si="146"/>
        <v>1.0027157713556663</v>
      </c>
      <c r="CR135" s="68">
        <f t="shared" si="147"/>
        <v>0</v>
      </c>
      <c r="CS135" s="68">
        <f t="shared" si="148"/>
        <v>0.48899531699999998</v>
      </c>
      <c r="CT135" s="68">
        <f t="shared" si="198"/>
        <v>0.23911642</v>
      </c>
      <c r="CU135" s="68">
        <f t="shared" si="149"/>
        <v>0</v>
      </c>
      <c r="CV135" s="68">
        <f t="shared" si="150"/>
        <v>0</v>
      </c>
      <c r="CW135" s="68">
        <f t="shared" si="151"/>
        <v>0</v>
      </c>
      <c r="CX135" s="68">
        <f t="shared" si="152"/>
        <v>0</v>
      </c>
      <c r="CY135" s="68">
        <f t="shared" si="153"/>
        <v>0</v>
      </c>
      <c r="CZ135" s="68" t="e">
        <f t="shared" si="154"/>
        <v>#DIV/0!</v>
      </c>
      <c r="DA135" s="68" t="e">
        <f t="shared" si="155"/>
        <v>#DIV/0!</v>
      </c>
      <c r="DB135" s="68" t="e">
        <f t="shared" si="156"/>
        <v>#DIV/0!</v>
      </c>
      <c r="DC135" s="68" t="e">
        <f t="shared" si="157"/>
        <v>#DIV/0!</v>
      </c>
      <c r="DD135" s="68" t="e">
        <f t="shared" si="158"/>
        <v>#DIV/0!</v>
      </c>
      <c r="DE135" s="68" t="e">
        <f t="shared" si="159"/>
        <v>#DIV/0!</v>
      </c>
      <c r="DF135" s="68" t="e">
        <f t="shared" si="199"/>
        <v>#DIV/0!</v>
      </c>
      <c r="DG135" s="68">
        <f t="shared" si="160"/>
        <v>0.45480516874807669</v>
      </c>
      <c r="DH135" s="68">
        <f t="shared" si="161"/>
        <v>1.3986079121535113</v>
      </c>
      <c r="DI135" s="68">
        <f t="shared" si="162"/>
        <v>4.7123889803846897</v>
      </c>
      <c r="DJ135" s="68" t="e">
        <f t="shared" si="163"/>
        <v>#DIV/0!</v>
      </c>
      <c r="DK135" s="68" t="e">
        <f t="shared" si="164"/>
        <v>#DIV/0!</v>
      </c>
      <c r="DL135" s="68" t="e">
        <f t="shared" si="165"/>
        <v>#DIV/0!</v>
      </c>
      <c r="DM135" s="68" t="e">
        <f t="shared" si="166"/>
        <v>#DIV/0!</v>
      </c>
      <c r="DN135" s="68" t="e">
        <f t="shared" si="167"/>
        <v>#DIV/0!</v>
      </c>
      <c r="DO135" s="68" t="e">
        <f t="shared" si="168"/>
        <v>#DIV/0!</v>
      </c>
      <c r="DP135" s="68" t="e">
        <f t="shared" si="169"/>
        <v>#DIV/0!</v>
      </c>
      <c r="DQ135" s="68" t="e">
        <f t="shared" si="170"/>
        <v>#DIV/0!</v>
      </c>
      <c r="DR135" s="68" t="e">
        <f t="shared" si="171"/>
        <v>#DIV/0!</v>
      </c>
      <c r="DS135" s="68" t="e">
        <f t="shared" si="172"/>
        <v>#DIV/0!</v>
      </c>
      <c r="DT135" s="68" t="e">
        <f t="shared" si="173"/>
        <v>#DIV/0!</v>
      </c>
      <c r="DU135" s="68" t="e">
        <f t="shared" si="200"/>
        <v>#DIV/0!</v>
      </c>
      <c r="DV135" s="68" t="e">
        <f t="shared" si="174"/>
        <v>#DIV/0!</v>
      </c>
      <c r="DW135" s="68" t="e">
        <f t="shared" si="201"/>
        <v>#DIV/0!</v>
      </c>
      <c r="DX135" s="68">
        <f t="shared" si="175"/>
        <v>26.05841667</v>
      </c>
      <c r="DY135" s="68">
        <f t="shared" si="176"/>
        <v>80.134330559999995</v>
      </c>
      <c r="DZ135" s="68" t="e">
        <f t="shared" si="177"/>
        <v>#DIV/0!</v>
      </c>
      <c r="EA135" s="68" t="e">
        <f t="shared" si="178"/>
        <v>#DIV/0!</v>
      </c>
      <c r="EB135" s="68" t="e">
        <f t="shared" si="179"/>
        <v>#DIV/0!</v>
      </c>
      <c r="EC135" s="68" t="e">
        <f t="shared" si="180"/>
        <v>#DIV/0!</v>
      </c>
      <c r="ED135" s="68" t="e">
        <f t="shared" si="181"/>
        <v>#DIV/0!</v>
      </c>
      <c r="EE135" s="68" t="e">
        <f t="shared" si="182"/>
        <v>#DIV/0!</v>
      </c>
      <c r="EF135" s="68" t="e">
        <f t="shared" si="183"/>
        <v>#DIV/0!</v>
      </c>
      <c r="EG135" s="68" t="e">
        <f t="shared" si="184"/>
        <v>#DIV/0!</v>
      </c>
      <c r="EH135" s="68" t="e">
        <f t="shared" si="202"/>
        <v>#DIV/0!</v>
      </c>
      <c r="EI135" s="68" t="e">
        <f t="shared" si="185"/>
        <v>#DIV/0!</v>
      </c>
      <c r="EJ135" s="68" t="e">
        <f t="shared" si="186"/>
        <v>#DIV/0!</v>
      </c>
      <c r="EK135" s="68" t="e">
        <f t="shared" si="187"/>
        <v>#DIV/0!</v>
      </c>
      <c r="EL135" s="68" t="e">
        <f t="shared" si="188"/>
        <v>#DIV/0!</v>
      </c>
      <c r="EM135" s="68" t="e">
        <f t="shared" si="189"/>
        <v>#DIV/0!</v>
      </c>
      <c r="EN135" s="68" t="e">
        <f t="shared" si="190"/>
        <v>#DIV/0!</v>
      </c>
      <c r="EO135" s="68" t="e">
        <f t="shared" si="191"/>
        <v>#DIV/0!</v>
      </c>
      <c r="EP135" s="68" t="e">
        <f t="shared" si="192"/>
        <v>#DIV/0!</v>
      </c>
      <c r="EQ135" s="68" t="e">
        <f t="shared" si="193"/>
        <v>#DIV/0!</v>
      </c>
      <c r="ER135" s="68" t="e">
        <f t="shared" si="203"/>
        <v>#DIV/0!</v>
      </c>
    </row>
    <row r="136" spans="82:148" x14ac:dyDescent="0.25">
      <c r="CD136" s="68" t="s">
        <v>659</v>
      </c>
      <c r="CE136" s="69">
        <f t="shared" si="196"/>
        <v>260330.3</v>
      </c>
      <c r="CF136" s="69">
        <f t="shared" si="197"/>
        <v>800803.59</v>
      </c>
      <c r="CG136" s="70">
        <f t="shared" si="138"/>
        <v>270</v>
      </c>
      <c r="CH136" s="69">
        <f t="shared" si="194"/>
        <v>260330.30001199999</v>
      </c>
      <c r="CI136" s="69">
        <f t="shared" si="195"/>
        <v>800803.59001599997</v>
      </c>
      <c r="CJ136" s="68">
        <f t="shared" si="139"/>
        <v>26.05841667</v>
      </c>
      <c r="CK136" s="68">
        <f t="shared" si="140"/>
        <v>80.134330559999995</v>
      </c>
      <c r="CL136" s="68">
        <f t="shared" si="141"/>
        <v>26.05841667</v>
      </c>
      <c r="CM136" s="68">
        <f t="shared" si="142"/>
        <v>80.134330559999995</v>
      </c>
      <c r="CN136" s="68">
        <f t="shared" si="143"/>
        <v>0</v>
      </c>
      <c r="CO136" s="68">
        <f t="shared" si="144"/>
        <v>0</v>
      </c>
      <c r="CP136" s="68">
        <f t="shared" si="145"/>
        <v>0.43928729614546391</v>
      </c>
      <c r="CQ136" s="68">
        <f t="shared" si="146"/>
        <v>1.0027157713556663</v>
      </c>
      <c r="CR136" s="68">
        <f t="shared" si="147"/>
        <v>0</v>
      </c>
      <c r="CS136" s="68">
        <f t="shared" si="148"/>
        <v>0.48899531699999998</v>
      </c>
      <c r="CT136" s="68">
        <f t="shared" si="198"/>
        <v>0.23911642</v>
      </c>
      <c r="CU136" s="68">
        <f t="shared" si="149"/>
        <v>0</v>
      </c>
      <c r="CV136" s="68">
        <f t="shared" si="150"/>
        <v>0</v>
      </c>
      <c r="CW136" s="68">
        <f t="shared" si="151"/>
        <v>0</v>
      </c>
      <c r="CX136" s="68">
        <f t="shared" si="152"/>
        <v>0</v>
      </c>
      <c r="CY136" s="68">
        <f t="shared" si="153"/>
        <v>0</v>
      </c>
      <c r="CZ136" s="68" t="e">
        <f t="shared" si="154"/>
        <v>#DIV/0!</v>
      </c>
      <c r="DA136" s="68" t="e">
        <f t="shared" si="155"/>
        <v>#DIV/0!</v>
      </c>
      <c r="DB136" s="68" t="e">
        <f t="shared" si="156"/>
        <v>#DIV/0!</v>
      </c>
      <c r="DC136" s="68" t="e">
        <f t="shared" si="157"/>
        <v>#DIV/0!</v>
      </c>
      <c r="DD136" s="68" t="e">
        <f t="shared" si="158"/>
        <v>#DIV/0!</v>
      </c>
      <c r="DE136" s="68" t="e">
        <f t="shared" si="159"/>
        <v>#DIV/0!</v>
      </c>
      <c r="DF136" s="68" t="e">
        <f t="shared" si="199"/>
        <v>#DIV/0!</v>
      </c>
      <c r="DG136" s="68">
        <f t="shared" si="160"/>
        <v>0.45480516874807669</v>
      </c>
      <c r="DH136" s="68">
        <f t="shared" si="161"/>
        <v>1.3986079121535113</v>
      </c>
      <c r="DI136" s="68">
        <f t="shared" si="162"/>
        <v>4.7123889803846897</v>
      </c>
      <c r="DJ136" s="68" t="e">
        <f t="shared" si="163"/>
        <v>#DIV/0!</v>
      </c>
      <c r="DK136" s="68" t="e">
        <f t="shared" si="164"/>
        <v>#DIV/0!</v>
      </c>
      <c r="DL136" s="68" t="e">
        <f t="shared" si="165"/>
        <v>#DIV/0!</v>
      </c>
      <c r="DM136" s="68" t="e">
        <f t="shared" si="166"/>
        <v>#DIV/0!</v>
      </c>
      <c r="DN136" s="68" t="e">
        <f t="shared" si="167"/>
        <v>#DIV/0!</v>
      </c>
      <c r="DO136" s="68" t="e">
        <f t="shared" si="168"/>
        <v>#DIV/0!</v>
      </c>
      <c r="DP136" s="68" t="e">
        <f t="shared" si="169"/>
        <v>#DIV/0!</v>
      </c>
      <c r="DQ136" s="68" t="e">
        <f t="shared" si="170"/>
        <v>#DIV/0!</v>
      </c>
      <c r="DR136" s="68" t="e">
        <f t="shared" si="171"/>
        <v>#DIV/0!</v>
      </c>
      <c r="DS136" s="68" t="e">
        <f t="shared" si="172"/>
        <v>#DIV/0!</v>
      </c>
      <c r="DT136" s="68" t="e">
        <f t="shared" si="173"/>
        <v>#DIV/0!</v>
      </c>
      <c r="DU136" s="68" t="e">
        <f t="shared" si="200"/>
        <v>#DIV/0!</v>
      </c>
      <c r="DV136" s="68" t="e">
        <f t="shared" si="174"/>
        <v>#DIV/0!</v>
      </c>
      <c r="DW136" s="68" t="e">
        <f t="shared" si="201"/>
        <v>#DIV/0!</v>
      </c>
      <c r="DX136" s="68">
        <f t="shared" si="175"/>
        <v>26.05841667</v>
      </c>
      <c r="DY136" s="68">
        <f t="shared" si="176"/>
        <v>80.134330559999995</v>
      </c>
      <c r="DZ136" s="68" t="e">
        <f t="shared" si="177"/>
        <v>#DIV/0!</v>
      </c>
      <c r="EA136" s="68" t="e">
        <f t="shared" si="178"/>
        <v>#DIV/0!</v>
      </c>
      <c r="EB136" s="68" t="e">
        <f t="shared" si="179"/>
        <v>#DIV/0!</v>
      </c>
      <c r="EC136" s="68" t="e">
        <f t="shared" si="180"/>
        <v>#DIV/0!</v>
      </c>
      <c r="ED136" s="68" t="e">
        <f t="shared" si="181"/>
        <v>#DIV/0!</v>
      </c>
      <c r="EE136" s="68" t="e">
        <f t="shared" si="182"/>
        <v>#DIV/0!</v>
      </c>
      <c r="EF136" s="68" t="e">
        <f t="shared" si="183"/>
        <v>#DIV/0!</v>
      </c>
      <c r="EG136" s="68" t="e">
        <f t="shared" si="184"/>
        <v>#DIV/0!</v>
      </c>
      <c r="EH136" s="68" t="e">
        <f t="shared" si="202"/>
        <v>#DIV/0!</v>
      </c>
      <c r="EI136" s="68" t="e">
        <f t="shared" si="185"/>
        <v>#DIV/0!</v>
      </c>
      <c r="EJ136" s="68" t="e">
        <f t="shared" si="186"/>
        <v>#DIV/0!</v>
      </c>
      <c r="EK136" s="68" t="e">
        <f t="shared" si="187"/>
        <v>#DIV/0!</v>
      </c>
      <c r="EL136" s="68" t="e">
        <f t="shared" si="188"/>
        <v>#DIV/0!</v>
      </c>
      <c r="EM136" s="68" t="e">
        <f t="shared" si="189"/>
        <v>#DIV/0!</v>
      </c>
      <c r="EN136" s="68" t="e">
        <f t="shared" si="190"/>
        <v>#DIV/0!</v>
      </c>
      <c r="EO136" s="68" t="e">
        <f t="shared" si="191"/>
        <v>#DIV/0!</v>
      </c>
      <c r="EP136" s="68" t="e">
        <f t="shared" si="192"/>
        <v>#DIV/0!</v>
      </c>
      <c r="EQ136" s="68" t="e">
        <f t="shared" si="193"/>
        <v>#DIV/0!</v>
      </c>
      <c r="ER136" s="68" t="e">
        <f t="shared" si="203"/>
        <v>#DIV/0!</v>
      </c>
    </row>
    <row r="137" spans="82:148" x14ac:dyDescent="0.25">
      <c r="CD137" s="68" t="s">
        <v>660</v>
      </c>
      <c r="CE137" s="69">
        <f t="shared" si="196"/>
        <v>260330.3</v>
      </c>
      <c r="CF137" s="69">
        <f t="shared" si="197"/>
        <v>800803.59</v>
      </c>
      <c r="CG137" s="70">
        <f t="shared" si="138"/>
        <v>270</v>
      </c>
      <c r="CH137" s="69">
        <f t="shared" si="194"/>
        <v>260330.30001199999</v>
      </c>
      <c r="CI137" s="69">
        <f t="shared" si="195"/>
        <v>800803.59001599997</v>
      </c>
      <c r="CJ137" s="68">
        <f t="shared" si="139"/>
        <v>26.05841667</v>
      </c>
      <c r="CK137" s="68">
        <f t="shared" si="140"/>
        <v>80.134330559999995</v>
      </c>
      <c r="CL137" s="68">
        <f t="shared" si="141"/>
        <v>26.05841667</v>
      </c>
      <c r="CM137" s="68">
        <f t="shared" si="142"/>
        <v>80.134330559999995</v>
      </c>
      <c r="CN137" s="68">
        <f t="shared" si="143"/>
        <v>0</v>
      </c>
      <c r="CO137" s="68">
        <f t="shared" si="144"/>
        <v>0</v>
      </c>
      <c r="CP137" s="68">
        <f t="shared" si="145"/>
        <v>0.43928729614546391</v>
      </c>
      <c r="CQ137" s="68">
        <f t="shared" si="146"/>
        <v>1.0027157713556663</v>
      </c>
      <c r="CR137" s="68">
        <f t="shared" si="147"/>
        <v>0</v>
      </c>
      <c r="CS137" s="68">
        <f t="shared" si="148"/>
        <v>0.48899531699999998</v>
      </c>
      <c r="CT137" s="68">
        <f t="shared" si="198"/>
        <v>0.23911642</v>
      </c>
      <c r="CU137" s="68">
        <f t="shared" si="149"/>
        <v>0</v>
      </c>
      <c r="CV137" s="68">
        <f t="shared" si="150"/>
        <v>0</v>
      </c>
      <c r="CW137" s="68">
        <f t="shared" si="151"/>
        <v>0</v>
      </c>
      <c r="CX137" s="68">
        <f t="shared" si="152"/>
        <v>0</v>
      </c>
      <c r="CY137" s="68">
        <f t="shared" si="153"/>
        <v>0</v>
      </c>
      <c r="CZ137" s="68" t="e">
        <f t="shared" si="154"/>
        <v>#DIV/0!</v>
      </c>
      <c r="DA137" s="68" t="e">
        <f t="shared" si="155"/>
        <v>#DIV/0!</v>
      </c>
      <c r="DB137" s="68" t="e">
        <f t="shared" si="156"/>
        <v>#DIV/0!</v>
      </c>
      <c r="DC137" s="68" t="e">
        <f t="shared" si="157"/>
        <v>#DIV/0!</v>
      </c>
      <c r="DD137" s="68" t="e">
        <f t="shared" si="158"/>
        <v>#DIV/0!</v>
      </c>
      <c r="DE137" s="68" t="e">
        <f t="shared" si="159"/>
        <v>#DIV/0!</v>
      </c>
      <c r="DF137" s="68" t="e">
        <f t="shared" si="199"/>
        <v>#DIV/0!</v>
      </c>
      <c r="DG137" s="68">
        <f t="shared" si="160"/>
        <v>0.45480516874807669</v>
      </c>
      <c r="DH137" s="68">
        <f t="shared" si="161"/>
        <v>1.3986079121535113</v>
      </c>
      <c r="DI137" s="68">
        <f t="shared" si="162"/>
        <v>4.7123889803846897</v>
      </c>
      <c r="DJ137" s="68" t="e">
        <f t="shared" si="163"/>
        <v>#DIV/0!</v>
      </c>
      <c r="DK137" s="68" t="e">
        <f t="shared" si="164"/>
        <v>#DIV/0!</v>
      </c>
      <c r="DL137" s="68" t="e">
        <f t="shared" si="165"/>
        <v>#DIV/0!</v>
      </c>
      <c r="DM137" s="68" t="e">
        <f t="shared" si="166"/>
        <v>#DIV/0!</v>
      </c>
      <c r="DN137" s="68" t="e">
        <f t="shared" si="167"/>
        <v>#DIV/0!</v>
      </c>
      <c r="DO137" s="68" t="e">
        <f t="shared" si="168"/>
        <v>#DIV/0!</v>
      </c>
      <c r="DP137" s="68" t="e">
        <f t="shared" si="169"/>
        <v>#DIV/0!</v>
      </c>
      <c r="DQ137" s="68" t="e">
        <f t="shared" si="170"/>
        <v>#DIV/0!</v>
      </c>
      <c r="DR137" s="68" t="e">
        <f t="shared" si="171"/>
        <v>#DIV/0!</v>
      </c>
      <c r="DS137" s="68" t="e">
        <f t="shared" si="172"/>
        <v>#DIV/0!</v>
      </c>
      <c r="DT137" s="68" t="e">
        <f t="shared" si="173"/>
        <v>#DIV/0!</v>
      </c>
      <c r="DU137" s="68" t="e">
        <f t="shared" si="200"/>
        <v>#DIV/0!</v>
      </c>
      <c r="DV137" s="68" t="e">
        <f t="shared" si="174"/>
        <v>#DIV/0!</v>
      </c>
      <c r="DW137" s="68" t="e">
        <f t="shared" si="201"/>
        <v>#DIV/0!</v>
      </c>
      <c r="DX137" s="68">
        <f t="shared" si="175"/>
        <v>26.05841667</v>
      </c>
      <c r="DY137" s="68">
        <f t="shared" si="176"/>
        <v>80.134330559999995</v>
      </c>
      <c r="DZ137" s="68" t="e">
        <f t="shared" si="177"/>
        <v>#DIV/0!</v>
      </c>
      <c r="EA137" s="68" t="e">
        <f t="shared" si="178"/>
        <v>#DIV/0!</v>
      </c>
      <c r="EB137" s="68" t="e">
        <f t="shared" si="179"/>
        <v>#DIV/0!</v>
      </c>
      <c r="EC137" s="68" t="e">
        <f t="shared" si="180"/>
        <v>#DIV/0!</v>
      </c>
      <c r="ED137" s="68" t="e">
        <f t="shared" si="181"/>
        <v>#DIV/0!</v>
      </c>
      <c r="EE137" s="68" t="e">
        <f t="shared" si="182"/>
        <v>#DIV/0!</v>
      </c>
      <c r="EF137" s="68" t="e">
        <f t="shared" si="183"/>
        <v>#DIV/0!</v>
      </c>
      <c r="EG137" s="68" t="e">
        <f t="shared" si="184"/>
        <v>#DIV/0!</v>
      </c>
      <c r="EH137" s="68" t="e">
        <f t="shared" si="202"/>
        <v>#DIV/0!</v>
      </c>
      <c r="EI137" s="68" t="e">
        <f t="shared" si="185"/>
        <v>#DIV/0!</v>
      </c>
      <c r="EJ137" s="68" t="e">
        <f t="shared" si="186"/>
        <v>#DIV/0!</v>
      </c>
      <c r="EK137" s="68" t="e">
        <f t="shared" si="187"/>
        <v>#DIV/0!</v>
      </c>
      <c r="EL137" s="68" t="e">
        <f t="shared" si="188"/>
        <v>#DIV/0!</v>
      </c>
      <c r="EM137" s="68" t="e">
        <f t="shared" si="189"/>
        <v>#DIV/0!</v>
      </c>
      <c r="EN137" s="68" t="e">
        <f t="shared" si="190"/>
        <v>#DIV/0!</v>
      </c>
      <c r="EO137" s="68" t="e">
        <f t="shared" si="191"/>
        <v>#DIV/0!</v>
      </c>
      <c r="EP137" s="68" t="e">
        <f t="shared" si="192"/>
        <v>#DIV/0!</v>
      </c>
      <c r="EQ137" s="68" t="e">
        <f t="shared" si="193"/>
        <v>#DIV/0!</v>
      </c>
      <c r="ER137" s="68" t="e">
        <f t="shared" si="203"/>
        <v>#DIV/0!</v>
      </c>
    </row>
    <row r="138" spans="82:148" x14ac:dyDescent="0.25">
      <c r="CD138" s="68" t="s">
        <v>661</v>
      </c>
      <c r="CE138" s="69">
        <f t="shared" si="196"/>
        <v>260330.3</v>
      </c>
      <c r="CF138" s="69">
        <f t="shared" si="197"/>
        <v>800803.59</v>
      </c>
      <c r="CG138" s="70">
        <f t="shared" si="138"/>
        <v>270</v>
      </c>
      <c r="CH138" s="69">
        <f t="shared" si="194"/>
        <v>260330.30001199999</v>
      </c>
      <c r="CI138" s="69">
        <f t="shared" si="195"/>
        <v>800803.59001599997</v>
      </c>
      <c r="CJ138" s="68">
        <f t="shared" si="139"/>
        <v>26.05841667</v>
      </c>
      <c r="CK138" s="68">
        <f t="shared" si="140"/>
        <v>80.134330559999995</v>
      </c>
      <c r="CL138" s="68">
        <f t="shared" si="141"/>
        <v>26.05841667</v>
      </c>
      <c r="CM138" s="68">
        <f t="shared" si="142"/>
        <v>80.134330559999995</v>
      </c>
      <c r="CN138" s="68">
        <f t="shared" si="143"/>
        <v>0</v>
      </c>
      <c r="CO138" s="68">
        <f t="shared" si="144"/>
        <v>0</v>
      </c>
      <c r="CP138" s="68">
        <f t="shared" si="145"/>
        <v>0.43928729614546391</v>
      </c>
      <c r="CQ138" s="68">
        <f t="shared" si="146"/>
        <v>1.0027157713556663</v>
      </c>
      <c r="CR138" s="68">
        <f t="shared" si="147"/>
        <v>0</v>
      </c>
      <c r="CS138" s="68">
        <f t="shared" si="148"/>
        <v>0.48899531699999998</v>
      </c>
      <c r="CT138" s="68">
        <f t="shared" si="198"/>
        <v>0.23911642</v>
      </c>
      <c r="CU138" s="68">
        <f t="shared" si="149"/>
        <v>0</v>
      </c>
      <c r="CV138" s="68">
        <f t="shared" si="150"/>
        <v>0</v>
      </c>
      <c r="CW138" s="68">
        <f t="shared" si="151"/>
        <v>0</v>
      </c>
      <c r="CX138" s="68">
        <f t="shared" si="152"/>
        <v>0</v>
      </c>
      <c r="CY138" s="68">
        <f t="shared" si="153"/>
        <v>0</v>
      </c>
      <c r="CZ138" s="68" t="e">
        <f t="shared" si="154"/>
        <v>#DIV/0!</v>
      </c>
      <c r="DA138" s="68" t="e">
        <f t="shared" si="155"/>
        <v>#DIV/0!</v>
      </c>
      <c r="DB138" s="68" t="e">
        <f t="shared" si="156"/>
        <v>#DIV/0!</v>
      </c>
      <c r="DC138" s="68" t="e">
        <f t="shared" si="157"/>
        <v>#DIV/0!</v>
      </c>
      <c r="DD138" s="68" t="e">
        <f t="shared" si="158"/>
        <v>#DIV/0!</v>
      </c>
      <c r="DE138" s="68" t="e">
        <f t="shared" si="159"/>
        <v>#DIV/0!</v>
      </c>
      <c r="DF138" s="68" t="e">
        <f t="shared" si="199"/>
        <v>#DIV/0!</v>
      </c>
      <c r="DG138" s="68">
        <f t="shared" si="160"/>
        <v>0.45480516874807669</v>
      </c>
      <c r="DH138" s="68">
        <f t="shared" si="161"/>
        <v>1.3986079121535113</v>
      </c>
      <c r="DI138" s="68">
        <f t="shared" si="162"/>
        <v>4.7123889803846897</v>
      </c>
      <c r="DJ138" s="68" t="e">
        <f t="shared" si="163"/>
        <v>#DIV/0!</v>
      </c>
      <c r="DK138" s="68" t="e">
        <f t="shared" si="164"/>
        <v>#DIV/0!</v>
      </c>
      <c r="DL138" s="68" t="e">
        <f t="shared" si="165"/>
        <v>#DIV/0!</v>
      </c>
      <c r="DM138" s="68" t="e">
        <f t="shared" si="166"/>
        <v>#DIV/0!</v>
      </c>
      <c r="DN138" s="68" t="e">
        <f t="shared" si="167"/>
        <v>#DIV/0!</v>
      </c>
      <c r="DO138" s="68" t="e">
        <f t="shared" si="168"/>
        <v>#DIV/0!</v>
      </c>
      <c r="DP138" s="68" t="e">
        <f t="shared" si="169"/>
        <v>#DIV/0!</v>
      </c>
      <c r="DQ138" s="68" t="e">
        <f t="shared" si="170"/>
        <v>#DIV/0!</v>
      </c>
      <c r="DR138" s="68" t="e">
        <f t="shared" si="171"/>
        <v>#DIV/0!</v>
      </c>
      <c r="DS138" s="68" t="e">
        <f t="shared" si="172"/>
        <v>#DIV/0!</v>
      </c>
      <c r="DT138" s="68" t="e">
        <f t="shared" si="173"/>
        <v>#DIV/0!</v>
      </c>
      <c r="DU138" s="68" t="e">
        <f t="shared" si="200"/>
        <v>#DIV/0!</v>
      </c>
      <c r="DV138" s="68" t="e">
        <f t="shared" si="174"/>
        <v>#DIV/0!</v>
      </c>
      <c r="DW138" s="68" t="e">
        <f t="shared" si="201"/>
        <v>#DIV/0!</v>
      </c>
      <c r="DX138" s="68">
        <f t="shared" si="175"/>
        <v>26.05841667</v>
      </c>
      <c r="DY138" s="68">
        <f t="shared" si="176"/>
        <v>80.134330559999995</v>
      </c>
      <c r="DZ138" s="68" t="e">
        <f t="shared" si="177"/>
        <v>#DIV/0!</v>
      </c>
      <c r="EA138" s="68" t="e">
        <f t="shared" si="178"/>
        <v>#DIV/0!</v>
      </c>
      <c r="EB138" s="68" t="e">
        <f t="shared" si="179"/>
        <v>#DIV/0!</v>
      </c>
      <c r="EC138" s="68" t="e">
        <f t="shared" si="180"/>
        <v>#DIV/0!</v>
      </c>
      <c r="ED138" s="68" t="e">
        <f t="shared" si="181"/>
        <v>#DIV/0!</v>
      </c>
      <c r="EE138" s="68" t="e">
        <f t="shared" si="182"/>
        <v>#DIV/0!</v>
      </c>
      <c r="EF138" s="68" t="e">
        <f t="shared" si="183"/>
        <v>#DIV/0!</v>
      </c>
      <c r="EG138" s="68" t="e">
        <f t="shared" si="184"/>
        <v>#DIV/0!</v>
      </c>
      <c r="EH138" s="68" t="e">
        <f t="shared" si="202"/>
        <v>#DIV/0!</v>
      </c>
      <c r="EI138" s="68" t="e">
        <f t="shared" si="185"/>
        <v>#DIV/0!</v>
      </c>
      <c r="EJ138" s="68" t="e">
        <f t="shared" si="186"/>
        <v>#DIV/0!</v>
      </c>
      <c r="EK138" s="68" t="e">
        <f t="shared" si="187"/>
        <v>#DIV/0!</v>
      </c>
      <c r="EL138" s="68" t="e">
        <f t="shared" si="188"/>
        <v>#DIV/0!</v>
      </c>
      <c r="EM138" s="68" t="e">
        <f t="shared" si="189"/>
        <v>#DIV/0!</v>
      </c>
      <c r="EN138" s="68" t="e">
        <f t="shared" si="190"/>
        <v>#DIV/0!</v>
      </c>
      <c r="EO138" s="68" t="e">
        <f t="shared" si="191"/>
        <v>#DIV/0!</v>
      </c>
      <c r="EP138" s="68" t="e">
        <f t="shared" si="192"/>
        <v>#DIV/0!</v>
      </c>
      <c r="EQ138" s="68" t="e">
        <f t="shared" si="193"/>
        <v>#DIV/0!</v>
      </c>
      <c r="ER138" s="68" t="e">
        <f t="shared" si="203"/>
        <v>#DIV/0!</v>
      </c>
    </row>
    <row r="139" spans="82:148" x14ac:dyDescent="0.25">
      <c r="CD139" s="68" t="s">
        <v>662</v>
      </c>
      <c r="CE139" s="69">
        <f t="shared" si="196"/>
        <v>260330.3</v>
      </c>
      <c r="CF139" s="69">
        <f t="shared" si="197"/>
        <v>800803.59</v>
      </c>
      <c r="CG139" s="70">
        <f t="shared" ref="CG139:CG156" si="204">$F$3</f>
        <v>270</v>
      </c>
      <c r="CH139" s="69">
        <f t="shared" si="194"/>
        <v>260330.30001199999</v>
      </c>
      <c r="CI139" s="69">
        <f t="shared" si="195"/>
        <v>800803.59001599997</v>
      </c>
      <c r="CJ139" s="68">
        <f t="shared" si="139"/>
        <v>26.05841667</v>
      </c>
      <c r="CK139" s="68">
        <f t="shared" si="140"/>
        <v>80.134330559999995</v>
      </c>
      <c r="CL139" s="68">
        <f t="shared" si="141"/>
        <v>26.05841667</v>
      </c>
      <c r="CM139" s="68">
        <f t="shared" si="142"/>
        <v>80.134330559999995</v>
      </c>
      <c r="CN139" s="68">
        <f t="shared" si="143"/>
        <v>0</v>
      </c>
      <c r="CO139" s="68">
        <f t="shared" si="144"/>
        <v>0</v>
      </c>
      <c r="CP139" s="68">
        <f t="shared" si="145"/>
        <v>0.43928729614546391</v>
      </c>
      <c r="CQ139" s="68">
        <f t="shared" si="146"/>
        <v>1.0027157713556663</v>
      </c>
      <c r="CR139" s="68">
        <f t="shared" si="147"/>
        <v>0</v>
      </c>
      <c r="CS139" s="68">
        <f t="shared" si="148"/>
        <v>0.48899531699999998</v>
      </c>
      <c r="CT139" s="68">
        <f t="shared" si="198"/>
        <v>0.23911642</v>
      </c>
      <c r="CU139" s="68">
        <f t="shared" si="149"/>
        <v>0</v>
      </c>
      <c r="CV139" s="68">
        <f t="shared" si="150"/>
        <v>0</v>
      </c>
      <c r="CW139" s="68">
        <f t="shared" si="151"/>
        <v>0</v>
      </c>
      <c r="CX139" s="68">
        <f t="shared" si="152"/>
        <v>0</v>
      </c>
      <c r="CY139" s="68">
        <f t="shared" si="153"/>
        <v>0</v>
      </c>
      <c r="CZ139" s="68" t="e">
        <f t="shared" si="154"/>
        <v>#DIV/0!</v>
      </c>
      <c r="DA139" s="68" t="e">
        <f t="shared" si="155"/>
        <v>#DIV/0!</v>
      </c>
      <c r="DB139" s="68" t="e">
        <f t="shared" si="156"/>
        <v>#DIV/0!</v>
      </c>
      <c r="DC139" s="68" t="e">
        <f t="shared" si="157"/>
        <v>#DIV/0!</v>
      </c>
      <c r="DD139" s="68" t="e">
        <f t="shared" si="158"/>
        <v>#DIV/0!</v>
      </c>
      <c r="DE139" s="68" t="e">
        <f t="shared" si="159"/>
        <v>#DIV/0!</v>
      </c>
      <c r="DF139" s="68" t="e">
        <f t="shared" si="199"/>
        <v>#DIV/0!</v>
      </c>
      <c r="DG139" s="68">
        <f t="shared" si="160"/>
        <v>0.45480516874807669</v>
      </c>
      <c r="DH139" s="68">
        <f t="shared" si="161"/>
        <v>1.3986079121535113</v>
      </c>
      <c r="DI139" s="68">
        <f t="shared" si="162"/>
        <v>4.7123889803846897</v>
      </c>
      <c r="DJ139" s="68" t="e">
        <f t="shared" si="163"/>
        <v>#DIV/0!</v>
      </c>
      <c r="DK139" s="68" t="e">
        <f t="shared" si="164"/>
        <v>#DIV/0!</v>
      </c>
      <c r="DL139" s="68" t="e">
        <f t="shared" si="165"/>
        <v>#DIV/0!</v>
      </c>
      <c r="DM139" s="68" t="e">
        <f t="shared" si="166"/>
        <v>#DIV/0!</v>
      </c>
      <c r="DN139" s="68" t="e">
        <f t="shared" si="167"/>
        <v>#DIV/0!</v>
      </c>
      <c r="DO139" s="68" t="e">
        <f t="shared" si="168"/>
        <v>#DIV/0!</v>
      </c>
      <c r="DP139" s="68" t="e">
        <f t="shared" si="169"/>
        <v>#DIV/0!</v>
      </c>
      <c r="DQ139" s="68" t="e">
        <f t="shared" si="170"/>
        <v>#DIV/0!</v>
      </c>
      <c r="DR139" s="68" t="e">
        <f t="shared" si="171"/>
        <v>#DIV/0!</v>
      </c>
      <c r="DS139" s="68" t="e">
        <f t="shared" si="172"/>
        <v>#DIV/0!</v>
      </c>
      <c r="DT139" s="68" t="e">
        <f t="shared" si="173"/>
        <v>#DIV/0!</v>
      </c>
      <c r="DU139" s="68" t="e">
        <f t="shared" si="200"/>
        <v>#DIV/0!</v>
      </c>
      <c r="DV139" s="68" t="e">
        <f t="shared" si="174"/>
        <v>#DIV/0!</v>
      </c>
      <c r="DW139" s="68" t="e">
        <f t="shared" si="201"/>
        <v>#DIV/0!</v>
      </c>
      <c r="DX139" s="68">
        <f t="shared" si="175"/>
        <v>26.05841667</v>
      </c>
      <c r="DY139" s="68">
        <f t="shared" si="176"/>
        <v>80.134330559999995</v>
      </c>
      <c r="DZ139" s="68" t="e">
        <f t="shared" si="177"/>
        <v>#DIV/0!</v>
      </c>
      <c r="EA139" s="68" t="e">
        <f t="shared" si="178"/>
        <v>#DIV/0!</v>
      </c>
      <c r="EB139" s="68" t="e">
        <f t="shared" si="179"/>
        <v>#DIV/0!</v>
      </c>
      <c r="EC139" s="68" t="e">
        <f t="shared" si="180"/>
        <v>#DIV/0!</v>
      </c>
      <c r="ED139" s="68" t="e">
        <f t="shared" si="181"/>
        <v>#DIV/0!</v>
      </c>
      <c r="EE139" s="68" t="e">
        <f t="shared" si="182"/>
        <v>#DIV/0!</v>
      </c>
      <c r="EF139" s="68" t="e">
        <f t="shared" si="183"/>
        <v>#DIV/0!</v>
      </c>
      <c r="EG139" s="68" t="e">
        <f t="shared" si="184"/>
        <v>#DIV/0!</v>
      </c>
      <c r="EH139" s="68" t="e">
        <f t="shared" si="202"/>
        <v>#DIV/0!</v>
      </c>
      <c r="EI139" s="68" t="e">
        <f t="shared" si="185"/>
        <v>#DIV/0!</v>
      </c>
      <c r="EJ139" s="68" t="e">
        <f t="shared" si="186"/>
        <v>#DIV/0!</v>
      </c>
      <c r="EK139" s="68" t="e">
        <f t="shared" si="187"/>
        <v>#DIV/0!</v>
      </c>
      <c r="EL139" s="68" t="e">
        <f t="shared" si="188"/>
        <v>#DIV/0!</v>
      </c>
      <c r="EM139" s="68" t="e">
        <f t="shared" si="189"/>
        <v>#DIV/0!</v>
      </c>
      <c r="EN139" s="68" t="e">
        <f t="shared" si="190"/>
        <v>#DIV/0!</v>
      </c>
      <c r="EO139" s="68" t="e">
        <f t="shared" si="191"/>
        <v>#DIV/0!</v>
      </c>
      <c r="EP139" s="68" t="e">
        <f t="shared" si="192"/>
        <v>#DIV/0!</v>
      </c>
      <c r="EQ139" s="68" t="e">
        <f t="shared" si="193"/>
        <v>#DIV/0!</v>
      </c>
      <c r="ER139" s="68" t="e">
        <f t="shared" si="203"/>
        <v>#DIV/0!</v>
      </c>
    </row>
    <row r="140" spans="82:148" x14ac:dyDescent="0.25">
      <c r="CD140" s="68" t="s">
        <v>663</v>
      </c>
      <c r="CE140" s="69">
        <f t="shared" si="196"/>
        <v>260330.3</v>
      </c>
      <c r="CF140" s="69">
        <f t="shared" si="197"/>
        <v>800803.59</v>
      </c>
      <c r="CG140" s="70">
        <f t="shared" si="204"/>
        <v>270</v>
      </c>
      <c r="CH140" s="69">
        <f t="shared" si="194"/>
        <v>260330.30001199999</v>
      </c>
      <c r="CI140" s="69">
        <f t="shared" si="195"/>
        <v>800803.59001599997</v>
      </c>
      <c r="CJ140" s="68">
        <f t="shared" si="139"/>
        <v>26.05841667</v>
      </c>
      <c r="CK140" s="68">
        <f t="shared" si="140"/>
        <v>80.134330559999995</v>
      </c>
      <c r="CL140" s="68">
        <f t="shared" si="141"/>
        <v>26.05841667</v>
      </c>
      <c r="CM140" s="68">
        <f t="shared" si="142"/>
        <v>80.134330559999995</v>
      </c>
      <c r="CN140" s="68">
        <f t="shared" si="143"/>
        <v>0</v>
      </c>
      <c r="CO140" s="68">
        <f t="shared" si="144"/>
        <v>0</v>
      </c>
      <c r="CP140" s="68">
        <f t="shared" si="145"/>
        <v>0.43928729614546391</v>
      </c>
      <c r="CQ140" s="68">
        <f t="shared" si="146"/>
        <v>1.0027157713556663</v>
      </c>
      <c r="CR140" s="68">
        <f t="shared" si="147"/>
        <v>0</v>
      </c>
      <c r="CS140" s="68">
        <f t="shared" si="148"/>
        <v>0.48899531699999998</v>
      </c>
      <c r="CT140" s="68">
        <f t="shared" si="198"/>
        <v>0.23911642</v>
      </c>
      <c r="CU140" s="68">
        <f t="shared" si="149"/>
        <v>0</v>
      </c>
      <c r="CV140" s="68">
        <f t="shared" si="150"/>
        <v>0</v>
      </c>
      <c r="CW140" s="68">
        <f t="shared" si="151"/>
        <v>0</v>
      </c>
      <c r="CX140" s="68">
        <f t="shared" si="152"/>
        <v>0</v>
      </c>
      <c r="CY140" s="68">
        <f t="shared" si="153"/>
        <v>0</v>
      </c>
      <c r="CZ140" s="68" t="e">
        <f t="shared" si="154"/>
        <v>#DIV/0!</v>
      </c>
      <c r="DA140" s="68" t="e">
        <f t="shared" si="155"/>
        <v>#DIV/0!</v>
      </c>
      <c r="DB140" s="68" t="e">
        <f t="shared" si="156"/>
        <v>#DIV/0!</v>
      </c>
      <c r="DC140" s="68" t="e">
        <f t="shared" si="157"/>
        <v>#DIV/0!</v>
      </c>
      <c r="DD140" s="68" t="e">
        <f t="shared" si="158"/>
        <v>#DIV/0!</v>
      </c>
      <c r="DE140" s="68" t="e">
        <f t="shared" si="159"/>
        <v>#DIV/0!</v>
      </c>
      <c r="DF140" s="68" t="e">
        <f t="shared" si="199"/>
        <v>#DIV/0!</v>
      </c>
      <c r="DG140" s="68">
        <f t="shared" si="160"/>
        <v>0.45480516874807669</v>
      </c>
      <c r="DH140" s="68">
        <f t="shared" si="161"/>
        <v>1.3986079121535113</v>
      </c>
      <c r="DI140" s="68">
        <f t="shared" si="162"/>
        <v>4.7123889803846897</v>
      </c>
      <c r="DJ140" s="68" t="e">
        <f t="shared" si="163"/>
        <v>#DIV/0!</v>
      </c>
      <c r="DK140" s="68" t="e">
        <f t="shared" si="164"/>
        <v>#DIV/0!</v>
      </c>
      <c r="DL140" s="68" t="e">
        <f t="shared" si="165"/>
        <v>#DIV/0!</v>
      </c>
      <c r="DM140" s="68" t="e">
        <f t="shared" si="166"/>
        <v>#DIV/0!</v>
      </c>
      <c r="DN140" s="68" t="e">
        <f t="shared" si="167"/>
        <v>#DIV/0!</v>
      </c>
      <c r="DO140" s="68" t="e">
        <f t="shared" si="168"/>
        <v>#DIV/0!</v>
      </c>
      <c r="DP140" s="68" t="e">
        <f t="shared" si="169"/>
        <v>#DIV/0!</v>
      </c>
      <c r="DQ140" s="68" t="e">
        <f t="shared" si="170"/>
        <v>#DIV/0!</v>
      </c>
      <c r="DR140" s="68" t="e">
        <f t="shared" si="171"/>
        <v>#DIV/0!</v>
      </c>
      <c r="DS140" s="68" t="e">
        <f t="shared" si="172"/>
        <v>#DIV/0!</v>
      </c>
      <c r="DT140" s="68" t="e">
        <f t="shared" si="173"/>
        <v>#DIV/0!</v>
      </c>
      <c r="DU140" s="68" t="e">
        <f t="shared" si="200"/>
        <v>#DIV/0!</v>
      </c>
      <c r="DV140" s="68" t="e">
        <f t="shared" si="174"/>
        <v>#DIV/0!</v>
      </c>
      <c r="DW140" s="68" t="e">
        <f t="shared" si="201"/>
        <v>#DIV/0!</v>
      </c>
      <c r="DX140" s="68">
        <f t="shared" si="175"/>
        <v>26.05841667</v>
      </c>
      <c r="DY140" s="68">
        <f t="shared" si="176"/>
        <v>80.134330559999995</v>
      </c>
      <c r="DZ140" s="68" t="e">
        <f t="shared" si="177"/>
        <v>#DIV/0!</v>
      </c>
      <c r="EA140" s="68" t="e">
        <f t="shared" si="178"/>
        <v>#DIV/0!</v>
      </c>
      <c r="EB140" s="68" t="e">
        <f t="shared" si="179"/>
        <v>#DIV/0!</v>
      </c>
      <c r="EC140" s="68" t="e">
        <f t="shared" si="180"/>
        <v>#DIV/0!</v>
      </c>
      <c r="ED140" s="68" t="e">
        <f t="shared" si="181"/>
        <v>#DIV/0!</v>
      </c>
      <c r="EE140" s="68" t="e">
        <f t="shared" si="182"/>
        <v>#DIV/0!</v>
      </c>
      <c r="EF140" s="68" t="e">
        <f t="shared" si="183"/>
        <v>#DIV/0!</v>
      </c>
      <c r="EG140" s="68" t="e">
        <f t="shared" si="184"/>
        <v>#DIV/0!</v>
      </c>
      <c r="EH140" s="68" t="e">
        <f t="shared" si="202"/>
        <v>#DIV/0!</v>
      </c>
      <c r="EI140" s="68" t="e">
        <f t="shared" si="185"/>
        <v>#DIV/0!</v>
      </c>
      <c r="EJ140" s="68" t="e">
        <f t="shared" si="186"/>
        <v>#DIV/0!</v>
      </c>
      <c r="EK140" s="68" t="e">
        <f t="shared" si="187"/>
        <v>#DIV/0!</v>
      </c>
      <c r="EL140" s="68" t="e">
        <f t="shared" si="188"/>
        <v>#DIV/0!</v>
      </c>
      <c r="EM140" s="68" t="e">
        <f t="shared" si="189"/>
        <v>#DIV/0!</v>
      </c>
      <c r="EN140" s="68" t="e">
        <f t="shared" si="190"/>
        <v>#DIV/0!</v>
      </c>
      <c r="EO140" s="68" t="e">
        <f t="shared" si="191"/>
        <v>#DIV/0!</v>
      </c>
      <c r="EP140" s="68" t="e">
        <f t="shared" si="192"/>
        <v>#DIV/0!</v>
      </c>
      <c r="EQ140" s="68" t="e">
        <f t="shared" si="193"/>
        <v>#DIV/0!</v>
      </c>
      <c r="ER140" s="68" t="e">
        <f t="shared" si="203"/>
        <v>#DIV/0!</v>
      </c>
    </row>
    <row r="141" spans="82:148" x14ac:dyDescent="0.25">
      <c r="CD141" s="68" t="s">
        <v>664</v>
      </c>
      <c r="CE141" s="69">
        <f t="shared" si="196"/>
        <v>260330.3</v>
      </c>
      <c r="CF141" s="69">
        <f t="shared" si="197"/>
        <v>800803.59</v>
      </c>
      <c r="CG141" s="70">
        <f t="shared" si="204"/>
        <v>270</v>
      </c>
      <c r="CH141" s="69">
        <f t="shared" si="194"/>
        <v>260330.30001199999</v>
      </c>
      <c r="CI141" s="69">
        <f t="shared" si="195"/>
        <v>800803.59001599997</v>
      </c>
      <c r="CJ141" s="68">
        <f t="shared" si="139"/>
        <v>26.05841667</v>
      </c>
      <c r="CK141" s="68">
        <f t="shared" si="140"/>
        <v>80.134330559999995</v>
      </c>
      <c r="CL141" s="68">
        <f t="shared" si="141"/>
        <v>26.05841667</v>
      </c>
      <c r="CM141" s="68">
        <f t="shared" si="142"/>
        <v>80.134330559999995</v>
      </c>
      <c r="CN141" s="68">
        <f t="shared" si="143"/>
        <v>0</v>
      </c>
      <c r="CO141" s="68">
        <f t="shared" si="144"/>
        <v>0</v>
      </c>
      <c r="CP141" s="68">
        <f t="shared" si="145"/>
        <v>0.43928729614546391</v>
      </c>
      <c r="CQ141" s="68">
        <f t="shared" si="146"/>
        <v>1.0027157713556663</v>
      </c>
      <c r="CR141" s="68">
        <f t="shared" si="147"/>
        <v>0</v>
      </c>
      <c r="CS141" s="68">
        <f t="shared" si="148"/>
        <v>0.48899531699999998</v>
      </c>
      <c r="CT141" s="68">
        <f t="shared" si="198"/>
        <v>0.23911642</v>
      </c>
      <c r="CU141" s="68">
        <f t="shared" si="149"/>
        <v>0</v>
      </c>
      <c r="CV141" s="68">
        <f t="shared" si="150"/>
        <v>0</v>
      </c>
      <c r="CW141" s="68">
        <f t="shared" si="151"/>
        <v>0</v>
      </c>
      <c r="CX141" s="68">
        <f t="shared" si="152"/>
        <v>0</v>
      </c>
      <c r="CY141" s="68">
        <f t="shared" si="153"/>
        <v>0</v>
      </c>
      <c r="CZ141" s="68" t="e">
        <f t="shared" si="154"/>
        <v>#DIV/0!</v>
      </c>
      <c r="DA141" s="68" t="e">
        <f t="shared" si="155"/>
        <v>#DIV/0!</v>
      </c>
      <c r="DB141" s="68" t="e">
        <f t="shared" si="156"/>
        <v>#DIV/0!</v>
      </c>
      <c r="DC141" s="68" t="e">
        <f t="shared" si="157"/>
        <v>#DIV/0!</v>
      </c>
      <c r="DD141" s="68" t="e">
        <f t="shared" si="158"/>
        <v>#DIV/0!</v>
      </c>
      <c r="DE141" s="68" t="e">
        <f t="shared" si="159"/>
        <v>#DIV/0!</v>
      </c>
      <c r="DF141" s="68" t="e">
        <f t="shared" si="199"/>
        <v>#DIV/0!</v>
      </c>
      <c r="DG141" s="68">
        <f t="shared" si="160"/>
        <v>0.45480516874807669</v>
      </c>
      <c r="DH141" s="68">
        <f t="shared" si="161"/>
        <v>1.3986079121535113</v>
      </c>
      <c r="DI141" s="68">
        <f t="shared" si="162"/>
        <v>4.7123889803846897</v>
      </c>
      <c r="DJ141" s="68" t="e">
        <f t="shared" si="163"/>
        <v>#DIV/0!</v>
      </c>
      <c r="DK141" s="68" t="e">
        <f t="shared" si="164"/>
        <v>#DIV/0!</v>
      </c>
      <c r="DL141" s="68" t="e">
        <f t="shared" si="165"/>
        <v>#DIV/0!</v>
      </c>
      <c r="DM141" s="68" t="e">
        <f t="shared" si="166"/>
        <v>#DIV/0!</v>
      </c>
      <c r="DN141" s="68" t="e">
        <f t="shared" si="167"/>
        <v>#DIV/0!</v>
      </c>
      <c r="DO141" s="68" t="e">
        <f t="shared" si="168"/>
        <v>#DIV/0!</v>
      </c>
      <c r="DP141" s="68" t="e">
        <f t="shared" si="169"/>
        <v>#DIV/0!</v>
      </c>
      <c r="DQ141" s="68" t="e">
        <f t="shared" si="170"/>
        <v>#DIV/0!</v>
      </c>
      <c r="DR141" s="68" t="e">
        <f t="shared" si="171"/>
        <v>#DIV/0!</v>
      </c>
      <c r="DS141" s="68" t="e">
        <f t="shared" si="172"/>
        <v>#DIV/0!</v>
      </c>
      <c r="DT141" s="68" t="e">
        <f t="shared" si="173"/>
        <v>#DIV/0!</v>
      </c>
      <c r="DU141" s="68" t="e">
        <f t="shared" si="200"/>
        <v>#DIV/0!</v>
      </c>
      <c r="DV141" s="68" t="e">
        <f t="shared" si="174"/>
        <v>#DIV/0!</v>
      </c>
      <c r="DW141" s="68" t="e">
        <f t="shared" si="201"/>
        <v>#DIV/0!</v>
      </c>
      <c r="DX141" s="68">
        <f t="shared" si="175"/>
        <v>26.05841667</v>
      </c>
      <c r="DY141" s="68">
        <f t="shared" si="176"/>
        <v>80.134330559999995</v>
      </c>
      <c r="DZ141" s="68" t="e">
        <f t="shared" si="177"/>
        <v>#DIV/0!</v>
      </c>
      <c r="EA141" s="68" t="e">
        <f t="shared" si="178"/>
        <v>#DIV/0!</v>
      </c>
      <c r="EB141" s="68" t="e">
        <f t="shared" si="179"/>
        <v>#DIV/0!</v>
      </c>
      <c r="EC141" s="68" t="e">
        <f t="shared" si="180"/>
        <v>#DIV/0!</v>
      </c>
      <c r="ED141" s="68" t="e">
        <f t="shared" si="181"/>
        <v>#DIV/0!</v>
      </c>
      <c r="EE141" s="68" t="e">
        <f t="shared" si="182"/>
        <v>#DIV/0!</v>
      </c>
      <c r="EF141" s="68" t="e">
        <f t="shared" si="183"/>
        <v>#DIV/0!</v>
      </c>
      <c r="EG141" s="68" t="e">
        <f t="shared" si="184"/>
        <v>#DIV/0!</v>
      </c>
      <c r="EH141" s="68" t="e">
        <f t="shared" si="202"/>
        <v>#DIV/0!</v>
      </c>
      <c r="EI141" s="68" t="e">
        <f t="shared" si="185"/>
        <v>#DIV/0!</v>
      </c>
      <c r="EJ141" s="68" t="e">
        <f t="shared" si="186"/>
        <v>#DIV/0!</v>
      </c>
      <c r="EK141" s="68" t="e">
        <f t="shared" si="187"/>
        <v>#DIV/0!</v>
      </c>
      <c r="EL141" s="68" t="e">
        <f t="shared" si="188"/>
        <v>#DIV/0!</v>
      </c>
      <c r="EM141" s="68" t="e">
        <f t="shared" si="189"/>
        <v>#DIV/0!</v>
      </c>
      <c r="EN141" s="68" t="e">
        <f t="shared" si="190"/>
        <v>#DIV/0!</v>
      </c>
      <c r="EO141" s="68" t="e">
        <f t="shared" si="191"/>
        <v>#DIV/0!</v>
      </c>
      <c r="EP141" s="68" t="e">
        <f t="shared" si="192"/>
        <v>#DIV/0!</v>
      </c>
      <c r="EQ141" s="68" t="e">
        <f t="shared" si="193"/>
        <v>#DIV/0!</v>
      </c>
      <c r="ER141" s="68" t="e">
        <f t="shared" si="203"/>
        <v>#DIV/0!</v>
      </c>
    </row>
    <row r="142" spans="82:148" x14ac:dyDescent="0.25">
      <c r="CD142" s="68" t="s">
        <v>665</v>
      </c>
      <c r="CE142" s="69">
        <f t="shared" si="196"/>
        <v>260330.3</v>
      </c>
      <c r="CF142" s="69">
        <f t="shared" si="197"/>
        <v>800803.59</v>
      </c>
      <c r="CG142" s="70">
        <f t="shared" si="204"/>
        <v>270</v>
      </c>
      <c r="CH142" s="69">
        <f t="shared" si="194"/>
        <v>260330.30001199999</v>
      </c>
      <c r="CI142" s="69">
        <f t="shared" si="195"/>
        <v>800803.59001599997</v>
      </c>
      <c r="CJ142" s="68">
        <f t="shared" si="139"/>
        <v>26.05841667</v>
      </c>
      <c r="CK142" s="68">
        <f t="shared" si="140"/>
        <v>80.134330559999995</v>
      </c>
      <c r="CL142" s="68">
        <f t="shared" si="141"/>
        <v>26.05841667</v>
      </c>
      <c r="CM142" s="68">
        <f t="shared" si="142"/>
        <v>80.134330559999995</v>
      </c>
      <c r="CN142" s="68">
        <f t="shared" si="143"/>
        <v>0</v>
      </c>
      <c r="CO142" s="68">
        <f t="shared" si="144"/>
        <v>0</v>
      </c>
      <c r="CP142" s="68">
        <f t="shared" si="145"/>
        <v>0.43928729614546391</v>
      </c>
      <c r="CQ142" s="68">
        <f t="shared" si="146"/>
        <v>1.0027157713556663</v>
      </c>
      <c r="CR142" s="68">
        <f t="shared" si="147"/>
        <v>0</v>
      </c>
      <c r="CS142" s="68">
        <f t="shared" si="148"/>
        <v>0.48899531699999998</v>
      </c>
      <c r="CT142" s="68">
        <f t="shared" si="198"/>
        <v>0.23911642</v>
      </c>
      <c r="CU142" s="68">
        <f t="shared" si="149"/>
        <v>0</v>
      </c>
      <c r="CV142" s="68">
        <f t="shared" si="150"/>
        <v>0</v>
      </c>
      <c r="CW142" s="68">
        <f t="shared" si="151"/>
        <v>0</v>
      </c>
      <c r="CX142" s="68">
        <f t="shared" si="152"/>
        <v>0</v>
      </c>
      <c r="CY142" s="68">
        <f t="shared" si="153"/>
        <v>0</v>
      </c>
      <c r="CZ142" s="68" t="e">
        <f t="shared" si="154"/>
        <v>#DIV/0!</v>
      </c>
      <c r="DA142" s="68" t="e">
        <f t="shared" si="155"/>
        <v>#DIV/0!</v>
      </c>
      <c r="DB142" s="68" t="e">
        <f t="shared" si="156"/>
        <v>#DIV/0!</v>
      </c>
      <c r="DC142" s="68" t="e">
        <f t="shared" si="157"/>
        <v>#DIV/0!</v>
      </c>
      <c r="DD142" s="68" t="e">
        <f t="shared" si="158"/>
        <v>#DIV/0!</v>
      </c>
      <c r="DE142" s="68" t="e">
        <f t="shared" si="159"/>
        <v>#DIV/0!</v>
      </c>
      <c r="DF142" s="68" t="e">
        <f t="shared" si="199"/>
        <v>#DIV/0!</v>
      </c>
      <c r="DG142" s="68">
        <f t="shared" si="160"/>
        <v>0.45480516874807669</v>
      </c>
      <c r="DH142" s="68">
        <f t="shared" si="161"/>
        <v>1.3986079121535113</v>
      </c>
      <c r="DI142" s="68">
        <f t="shared" si="162"/>
        <v>4.7123889803846897</v>
      </c>
      <c r="DJ142" s="68" t="e">
        <f t="shared" si="163"/>
        <v>#DIV/0!</v>
      </c>
      <c r="DK142" s="68" t="e">
        <f t="shared" si="164"/>
        <v>#DIV/0!</v>
      </c>
      <c r="DL142" s="68" t="e">
        <f t="shared" si="165"/>
        <v>#DIV/0!</v>
      </c>
      <c r="DM142" s="68" t="e">
        <f t="shared" si="166"/>
        <v>#DIV/0!</v>
      </c>
      <c r="DN142" s="68" t="e">
        <f t="shared" si="167"/>
        <v>#DIV/0!</v>
      </c>
      <c r="DO142" s="68" t="e">
        <f t="shared" si="168"/>
        <v>#DIV/0!</v>
      </c>
      <c r="DP142" s="68" t="e">
        <f t="shared" si="169"/>
        <v>#DIV/0!</v>
      </c>
      <c r="DQ142" s="68" t="e">
        <f t="shared" si="170"/>
        <v>#DIV/0!</v>
      </c>
      <c r="DR142" s="68" t="e">
        <f t="shared" si="171"/>
        <v>#DIV/0!</v>
      </c>
      <c r="DS142" s="68" t="e">
        <f t="shared" si="172"/>
        <v>#DIV/0!</v>
      </c>
      <c r="DT142" s="68" t="e">
        <f t="shared" si="173"/>
        <v>#DIV/0!</v>
      </c>
      <c r="DU142" s="68" t="e">
        <f t="shared" si="200"/>
        <v>#DIV/0!</v>
      </c>
      <c r="DV142" s="68" t="e">
        <f t="shared" si="174"/>
        <v>#DIV/0!</v>
      </c>
      <c r="DW142" s="68" t="e">
        <f t="shared" si="201"/>
        <v>#DIV/0!</v>
      </c>
      <c r="DX142" s="68">
        <f t="shared" si="175"/>
        <v>26.05841667</v>
      </c>
      <c r="DY142" s="68">
        <f t="shared" si="176"/>
        <v>80.134330559999995</v>
      </c>
      <c r="DZ142" s="68" t="e">
        <f t="shared" si="177"/>
        <v>#DIV/0!</v>
      </c>
      <c r="EA142" s="68" t="e">
        <f t="shared" si="178"/>
        <v>#DIV/0!</v>
      </c>
      <c r="EB142" s="68" t="e">
        <f t="shared" si="179"/>
        <v>#DIV/0!</v>
      </c>
      <c r="EC142" s="68" t="e">
        <f t="shared" si="180"/>
        <v>#DIV/0!</v>
      </c>
      <c r="ED142" s="68" t="e">
        <f t="shared" si="181"/>
        <v>#DIV/0!</v>
      </c>
      <c r="EE142" s="68" t="e">
        <f t="shared" si="182"/>
        <v>#DIV/0!</v>
      </c>
      <c r="EF142" s="68" t="e">
        <f t="shared" si="183"/>
        <v>#DIV/0!</v>
      </c>
      <c r="EG142" s="68" t="e">
        <f t="shared" si="184"/>
        <v>#DIV/0!</v>
      </c>
      <c r="EH142" s="68" t="e">
        <f t="shared" si="202"/>
        <v>#DIV/0!</v>
      </c>
      <c r="EI142" s="68" t="e">
        <f t="shared" si="185"/>
        <v>#DIV/0!</v>
      </c>
      <c r="EJ142" s="68" t="e">
        <f t="shared" si="186"/>
        <v>#DIV/0!</v>
      </c>
      <c r="EK142" s="68" t="e">
        <f t="shared" si="187"/>
        <v>#DIV/0!</v>
      </c>
      <c r="EL142" s="68" t="e">
        <f t="shared" si="188"/>
        <v>#DIV/0!</v>
      </c>
      <c r="EM142" s="68" t="e">
        <f t="shared" si="189"/>
        <v>#DIV/0!</v>
      </c>
      <c r="EN142" s="68" t="e">
        <f t="shared" si="190"/>
        <v>#DIV/0!</v>
      </c>
      <c r="EO142" s="68" t="e">
        <f t="shared" si="191"/>
        <v>#DIV/0!</v>
      </c>
      <c r="EP142" s="68" t="e">
        <f t="shared" si="192"/>
        <v>#DIV/0!</v>
      </c>
      <c r="EQ142" s="68" t="e">
        <f t="shared" si="193"/>
        <v>#DIV/0!</v>
      </c>
      <c r="ER142" s="68" t="e">
        <f t="shared" si="203"/>
        <v>#DIV/0!</v>
      </c>
    </row>
    <row r="143" spans="82:148" x14ac:dyDescent="0.25">
      <c r="CD143" s="68" t="s">
        <v>666</v>
      </c>
      <c r="CE143" s="69">
        <f t="shared" si="196"/>
        <v>260330.3</v>
      </c>
      <c r="CF143" s="69">
        <f t="shared" si="197"/>
        <v>800803.59</v>
      </c>
      <c r="CG143" s="70">
        <f t="shared" si="204"/>
        <v>270</v>
      </c>
      <c r="CH143" s="69">
        <f t="shared" si="194"/>
        <v>260330.30001199999</v>
      </c>
      <c r="CI143" s="69">
        <f t="shared" si="195"/>
        <v>800803.59001599997</v>
      </c>
      <c r="CJ143" s="68">
        <f t="shared" si="139"/>
        <v>26.05841667</v>
      </c>
      <c r="CK143" s="68">
        <f t="shared" si="140"/>
        <v>80.134330559999995</v>
      </c>
      <c r="CL143" s="68">
        <f t="shared" si="141"/>
        <v>26.05841667</v>
      </c>
      <c r="CM143" s="68">
        <f t="shared" si="142"/>
        <v>80.134330559999995</v>
      </c>
      <c r="CN143" s="68">
        <f t="shared" si="143"/>
        <v>0</v>
      </c>
      <c r="CO143" s="68">
        <f t="shared" si="144"/>
        <v>0</v>
      </c>
      <c r="CP143" s="68">
        <f t="shared" si="145"/>
        <v>0.43928729614546391</v>
      </c>
      <c r="CQ143" s="68">
        <f t="shared" si="146"/>
        <v>1.0027157713556663</v>
      </c>
      <c r="CR143" s="68">
        <f t="shared" si="147"/>
        <v>0</v>
      </c>
      <c r="CS143" s="68">
        <f t="shared" si="148"/>
        <v>0.48899531699999998</v>
      </c>
      <c r="CT143" s="68">
        <f t="shared" si="198"/>
        <v>0.23911642</v>
      </c>
      <c r="CU143" s="68">
        <f t="shared" si="149"/>
        <v>0</v>
      </c>
      <c r="CV143" s="68">
        <f t="shared" si="150"/>
        <v>0</v>
      </c>
      <c r="CW143" s="68">
        <f t="shared" si="151"/>
        <v>0</v>
      </c>
      <c r="CX143" s="68">
        <f t="shared" si="152"/>
        <v>0</v>
      </c>
      <c r="CY143" s="68">
        <f t="shared" si="153"/>
        <v>0</v>
      </c>
      <c r="CZ143" s="68" t="e">
        <f t="shared" si="154"/>
        <v>#DIV/0!</v>
      </c>
      <c r="DA143" s="68" t="e">
        <f t="shared" si="155"/>
        <v>#DIV/0!</v>
      </c>
      <c r="DB143" s="68" t="e">
        <f t="shared" si="156"/>
        <v>#DIV/0!</v>
      </c>
      <c r="DC143" s="68" t="e">
        <f t="shared" si="157"/>
        <v>#DIV/0!</v>
      </c>
      <c r="DD143" s="68" t="e">
        <f t="shared" si="158"/>
        <v>#DIV/0!</v>
      </c>
      <c r="DE143" s="68" t="e">
        <f t="shared" si="159"/>
        <v>#DIV/0!</v>
      </c>
      <c r="DF143" s="68" t="e">
        <f t="shared" si="199"/>
        <v>#DIV/0!</v>
      </c>
      <c r="DG143" s="68">
        <f t="shared" si="160"/>
        <v>0.45480516874807669</v>
      </c>
      <c r="DH143" s="68">
        <f t="shared" si="161"/>
        <v>1.3986079121535113</v>
      </c>
      <c r="DI143" s="68">
        <f t="shared" si="162"/>
        <v>4.7123889803846897</v>
      </c>
      <c r="DJ143" s="68" t="e">
        <f t="shared" si="163"/>
        <v>#DIV/0!</v>
      </c>
      <c r="DK143" s="68" t="e">
        <f t="shared" si="164"/>
        <v>#DIV/0!</v>
      </c>
      <c r="DL143" s="68" t="e">
        <f t="shared" si="165"/>
        <v>#DIV/0!</v>
      </c>
      <c r="DM143" s="68" t="e">
        <f t="shared" si="166"/>
        <v>#DIV/0!</v>
      </c>
      <c r="DN143" s="68" t="e">
        <f t="shared" si="167"/>
        <v>#DIV/0!</v>
      </c>
      <c r="DO143" s="68" t="e">
        <f t="shared" si="168"/>
        <v>#DIV/0!</v>
      </c>
      <c r="DP143" s="68" t="e">
        <f t="shared" si="169"/>
        <v>#DIV/0!</v>
      </c>
      <c r="DQ143" s="68" t="e">
        <f t="shared" si="170"/>
        <v>#DIV/0!</v>
      </c>
      <c r="DR143" s="68" t="e">
        <f t="shared" si="171"/>
        <v>#DIV/0!</v>
      </c>
      <c r="DS143" s="68" t="e">
        <f t="shared" si="172"/>
        <v>#DIV/0!</v>
      </c>
      <c r="DT143" s="68" t="e">
        <f t="shared" si="173"/>
        <v>#DIV/0!</v>
      </c>
      <c r="DU143" s="68" t="e">
        <f t="shared" si="200"/>
        <v>#DIV/0!</v>
      </c>
      <c r="DV143" s="68" t="e">
        <f t="shared" si="174"/>
        <v>#DIV/0!</v>
      </c>
      <c r="DW143" s="68" t="e">
        <f t="shared" si="201"/>
        <v>#DIV/0!</v>
      </c>
      <c r="DX143" s="68">
        <f t="shared" si="175"/>
        <v>26.05841667</v>
      </c>
      <c r="DY143" s="68">
        <f t="shared" si="176"/>
        <v>80.134330559999995</v>
      </c>
      <c r="DZ143" s="68" t="e">
        <f t="shared" si="177"/>
        <v>#DIV/0!</v>
      </c>
      <c r="EA143" s="68" t="e">
        <f t="shared" si="178"/>
        <v>#DIV/0!</v>
      </c>
      <c r="EB143" s="68" t="e">
        <f t="shared" si="179"/>
        <v>#DIV/0!</v>
      </c>
      <c r="EC143" s="68" t="e">
        <f t="shared" si="180"/>
        <v>#DIV/0!</v>
      </c>
      <c r="ED143" s="68" t="e">
        <f t="shared" si="181"/>
        <v>#DIV/0!</v>
      </c>
      <c r="EE143" s="68" t="e">
        <f t="shared" si="182"/>
        <v>#DIV/0!</v>
      </c>
      <c r="EF143" s="68" t="e">
        <f t="shared" si="183"/>
        <v>#DIV/0!</v>
      </c>
      <c r="EG143" s="68" t="e">
        <f t="shared" si="184"/>
        <v>#DIV/0!</v>
      </c>
      <c r="EH143" s="68" t="e">
        <f t="shared" si="202"/>
        <v>#DIV/0!</v>
      </c>
      <c r="EI143" s="68" t="e">
        <f t="shared" si="185"/>
        <v>#DIV/0!</v>
      </c>
      <c r="EJ143" s="68" t="e">
        <f t="shared" si="186"/>
        <v>#DIV/0!</v>
      </c>
      <c r="EK143" s="68" t="e">
        <f t="shared" si="187"/>
        <v>#DIV/0!</v>
      </c>
      <c r="EL143" s="68" t="e">
        <f t="shared" si="188"/>
        <v>#DIV/0!</v>
      </c>
      <c r="EM143" s="68" t="e">
        <f t="shared" si="189"/>
        <v>#DIV/0!</v>
      </c>
      <c r="EN143" s="68" t="e">
        <f t="shared" si="190"/>
        <v>#DIV/0!</v>
      </c>
      <c r="EO143" s="68" t="e">
        <f t="shared" si="191"/>
        <v>#DIV/0!</v>
      </c>
      <c r="EP143" s="68" t="e">
        <f t="shared" si="192"/>
        <v>#DIV/0!</v>
      </c>
      <c r="EQ143" s="68" t="e">
        <f t="shared" si="193"/>
        <v>#DIV/0!</v>
      </c>
      <c r="ER143" s="68" t="e">
        <f t="shared" si="203"/>
        <v>#DIV/0!</v>
      </c>
    </row>
    <row r="144" spans="82:148" x14ac:dyDescent="0.25">
      <c r="CD144" s="68" t="s">
        <v>667</v>
      </c>
      <c r="CE144" s="69">
        <f t="shared" si="196"/>
        <v>260330.3</v>
      </c>
      <c r="CF144" s="69">
        <f t="shared" si="197"/>
        <v>800803.59</v>
      </c>
      <c r="CG144" s="70">
        <f t="shared" si="204"/>
        <v>270</v>
      </c>
      <c r="CH144" s="69">
        <f t="shared" si="194"/>
        <v>260330.30001199999</v>
      </c>
      <c r="CI144" s="69">
        <f t="shared" si="195"/>
        <v>800803.59001599997</v>
      </c>
      <c r="CJ144" s="68">
        <f t="shared" si="139"/>
        <v>26.05841667</v>
      </c>
      <c r="CK144" s="68">
        <f t="shared" si="140"/>
        <v>80.134330559999995</v>
      </c>
      <c r="CL144" s="68">
        <f t="shared" si="141"/>
        <v>26.05841667</v>
      </c>
      <c r="CM144" s="68">
        <f t="shared" si="142"/>
        <v>80.134330559999995</v>
      </c>
      <c r="CN144" s="68">
        <f t="shared" si="143"/>
        <v>0</v>
      </c>
      <c r="CO144" s="68">
        <f t="shared" si="144"/>
        <v>0</v>
      </c>
      <c r="CP144" s="68">
        <f t="shared" si="145"/>
        <v>0.43928729614546391</v>
      </c>
      <c r="CQ144" s="68">
        <f t="shared" si="146"/>
        <v>1.0027157713556663</v>
      </c>
      <c r="CR144" s="68">
        <f t="shared" si="147"/>
        <v>0</v>
      </c>
      <c r="CS144" s="68">
        <f t="shared" si="148"/>
        <v>0.48899531699999998</v>
      </c>
      <c r="CT144" s="68">
        <f t="shared" si="198"/>
        <v>0.23911642</v>
      </c>
      <c r="CU144" s="68">
        <f t="shared" si="149"/>
        <v>0</v>
      </c>
      <c r="CV144" s="68">
        <f t="shared" si="150"/>
        <v>0</v>
      </c>
      <c r="CW144" s="68">
        <f t="shared" si="151"/>
        <v>0</v>
      </c>
      <c r="CX144" s="68">
        <f t="shared" si="152"/>
        <v>0</v>
      </c>
      <c r="CY144" s="68">
        <f t="shared" si="153"/>
        <v>0</v>
      </c>
      <c r="CZ144" s="68" t="e">
        <f t="shared" si="154"/>
        <v>#DIV/0!</v>
      </c>
      <c r="DA144" s="68" t="e">
        <f t="shared" si="155"/>
        <v>#DIV/0!</v>
      </c>
      <c r="DB144" s="68" t="e">
        <f t="shared" si="156"/>
        <v>#DIV/0!</v>
      </c>
      <c r="DC144" s="68" t="e">
        <f t="shared" si="157"/>
        <v>#DIV/0!</v>
      </c>
      <c r="DD144" s="68" t="e">
        <f t="shared" si="158"/>
        <v>#DIV/0!</v>
      </c>
      <c r="DE144" s="68" t="e">
        <f t="shared" si="159"/>
        <v>#DIV/0!</v>
      </c>
      <c r="DF144" s="68" t="e">
        <f t="shared" si="199"/>
        <v>#DIV/0!</v>
      </c>
      <c r="DG144" s="68">
        <f t="shared" si="160"/>
        <v>0.45480516874807669</v>
      </c>
      <c r="DH144" s="68">
        <f t="shared" si="161"/>
        <v>1.3986079121535113</v>
      </c>
      <c r="DI144" s="68">
        <f t="shared" si="162"/>
        <v>4.7123889803846897</v>
      </c>
      <c r="DJ144" s="68" t="e">
        <f t="shared" si="163"/>
        <v>#DIV/0!</v>
      </c>
      <c r="DK144" s="68" t="e">
        <f t="shared" si="164"/>
        <v>#DIV/0!</v>
      </c>
      <c r="DL144" s="68" t="e">
        <f t="shared" si="165"/>
        <v>#DIV/0!</v>
      </c>
      <c r="DM144" s="68" t="e">
        <f t="shared" si="166"/>
        <v>#DIV/0!</v>
      </c>
      <c r="DN144" s="68" t="e">
        <f t="shared" si="167"/>
        <v>#DIV/0!</v>
      </c>
      <c r="DO144" s="68" t="e">
        <f t="shared" si="168"/>
        <v>#DIV/0!</v>
      </c>
      <c r="DP144" s="68" t="e">
        <f t="shared" si="169"/>
        <v>#DIV/0!</v>
      </c>
      <c r="DQ144" s="68" t="e">
        <f t="shared" si="170"/>
        <v>#DIV/0!</v>
      </c>
      <c r="DR144" s="68" t="e">
        <f t="shared" si="171"/>
        <v>#DIV/0!</v>
      </c>
      <c r="DS144" s="68" t="e">
        <f t="shared" si="172"/>
        <v>#DIV/0!</v>
      </c>
      <c r="DT144" s="68" t="e">
        <f t="shared" si="173"/>
        <v>#DIV/0!</v>
      </c>
      <c r="DU144" s="68" t="e">
        <f t="shared" si="200"/>
        <v>#DIV/0!</v>
      </c>
      <c r="DV144" s="68" t="e">
        <f t="shared" si="174"/>
        <v>#DIV/0!</v>
      </c>
      <c r="DW144" s="68" t="e">
        <f t="shared" si="201"/>
        <v>#DIV/0!</v>
      </c>
      <c r="DX144" s="68">
        <f t="shared" si="175"/>
        <v>26.05841667</v>
      </c>
      <c r="DY144" s="68">
        <f t="shared" si="176"/>
        <v>80.134330559999995</v>
      </c>
      <c r="DZ144" s="68" t="e">
        <f t="shared" si="177"/>
        <v>#DIV/0!</v>
      </c>
      <c r="EA144" s="68" t="e">
        <f t="shared" si="178"/>
        <v>#DIV/0!</v>
      </c>
      <c r="EB144" s="68" t="e">
        <f t="shared" si="179"/>
        <v>#DIV/0!</v>
      </c>
      <c r="EC144" s="68" t="e">
        <f t="shared" si="180"/>
        <v>#DIV/0!</v>
      </c>
      <c r="ED144" s="68" t="e">
        <f t="shared" si="181"/>
        <v>#DIV/0!</v>
      </c>
      <c r="EE144" s="68" t="e">
        <f t="shared" si="182"/>
        <v>#DIV/0!</v>
      </c>
      <c r="EF144" s="68" t="e">
        <f t="shared" si="183"/>
        <v>#DIV/0!</v>
      </c>
      <c r="EG144" s="68" t="e">
        <f t="shared" si="184"/>
        <v>#DIV/0!</v>
      </c>
      <c r="EH144" s="68" t="e">
        <f t="shared" si="202"/>
        <v>#DIV/0!</v>
      </c>
      <c r="EI144" s="68" t="e">
        <f t="shared" si="185"/>
        <v>#DIV/0!</v>
      </c>
      <c r="EJ144" s="68" t="e">
        <f t="shared" si="186"/>
        <v>#DIV/0!</v>
      </c>
      <c r="EK144" s="68" t="e">
        <f t="shared" si="187"/>
        <v>#DIV/0!</v>
      </c>
      <c r="EL144" s="68" t="e">
        <f t="shared" si="188"/>
        <v>#DIV/0!</v>
      </c>
      <c r="EM144" s="68" t="e">
        <f t="shared" si="189"/>
        <v>#DIV/0!</v>
      </c>
      <c r="EN144" s="68" t="e">
        <f t="shared" si="190"/>
        <v>#DIV/0!</v>
      </c>
      <c r="EO144" s="68" t="e">
        <f t="shared" si="191"/>
        <v>#DIV/0!</v>
      </c>
      <c r="EP144" s="68" t="e">
        <f t="shared" si="192"/>
        <v>#DIV/0!</v>
      </c>
      <c r="EQ144" s="68" t="e">
        <f t="shared" si="193"/>
        <v>#DIV/0!</v>
      </c>
      <c r="ER144" s="68" t="e">
        <f t="shared" si="203"/>
        <v>#DIV/0!</v>
      </c>
    </row>
    <row r="145" spans="82:148" x14ac:dyDescent="0.25">
      <c r="CD145" s="68" t="s">
        <v>668</v>
      </c>
      <c r="CE145" s="69">
        <f t="shared" si="196"/>
        <v>260330.3</v>
      </c>
      <c r="CF145" s="69">
        <f t="shared" si="197"/>
        <v>800803.59</v>
      </c>
      <c r="CG145" s="70">
        <f t="shared" si="204"/>
        <v>270</v>
      </c>
      <c r="CH145" s="69">
        <f t="shared" si="194"/>
        <v>260330.30001199999</v>
      </c>
      <c r="CI145" s="69">
        <f t="shared" si="195"/>
        <v>800803.59001599997</v>
      </c>
      <c r="CJ145" s="68">
        <f t="shared" si="139"/>
        <v>26.05841667</v>
      </c>
      <c r="CK145" s="68">
        <f t="shared" si="140"/>
        <v>80.134330559999995</v>
      </c>
      <c r="CL145" s="68">
        <f t="shared" si="141"/>
        <v>26.05841667</v>
      </c>
      <c r="CM145" s="68">
        <f t="shared" si="142"/>
        <v>80.134330559999995</v>
      </c>
      <c r="CN145" s="68">
        <f t="shared" si="143"/>
        <v>0</v>
      </c>
      <c r="CO145" s="68">
        <f t="shared" si="144"/>
        <v>0</v>
      </c>
      <c r="CP145" s="68">
        <f t="shared" si="145"/>
        <v>0.43928729614546391</v>
      </c>
      <c r="CQ145" s="68">
        <f t="shared" si="146"/>
        <v>1.0027157713556663</v>
      </c>
      <c r="CR145" s="68">
        <f t="shared" si="147"/>
        <v>0</v>
      </c>
      <c r="CS145" s="68">
        <f t="shared" si="148"/>
        <v>0.48899531699999998</v>
      </c>
      <c r="CT145" s="68">
        <f t="shared" si="198"/>
        <v>0.23911642</v>
      </c>
      <c r="CU145" s="68">
        <f t="shared" si="149"/>
        <v>0</v>
      </c>
      <c r="CV145" s="68">
        <f t="shared" si="150"/>
        <v>0</v>
      </c>
      <c r="CW145" s="68">
        <f t="shared" si="151"/>
        <v>0</v>
      </c>
      <c r="CX145" s="68">
        <f t="shared" si="152"/>
        <v>0</v>
      </c>
      <c r="CY145" s="68">
        <f t="shared" si="153"/>
        <v>0</v>
      </c>
      <c r="CZ145" s="68" t="e">
        <f t="shared" si="154"/>
        <v>#DIV/0!</v>
      </c>
      <c r="DA145" s="68" t="e">
        <f t="shared" si="155"/>
        <v>#DIV/0!</v>
      </c>
      <c r="DB145" s="68" t="e">
        <f t="shared" si="156"/>
        <v>#DIV/0!</v>
      </c>
      <c r="DC145" s="68" t="e">
        <f t="shared" si="157"/>
        <v>#DIV/0!</v>
      </c>
      <c r="DD145" s="68" t="e">
        <f t="shared" si="158"/>
        <v>#DIV/0!</v>
      </c>
      <c r="DE145" s="68" t="e">
        <f t="shared" si="159"/>
        <v>#DIV/0!</v>
      </c>
      <c r="DF145" s="68" t="e">
        <f t="shared" si="199"/>
        <v>#DIV/0!</v>
      </c>
      <c r="DG145" s="68">
        <f t="shared" si="160"/>
        <v>0.45480516874807669</v>
      </c>
      <c r="DH145" s="68">
        <f t="shared" si="161"/>
        <v>1.3986079121535113</v>
      </c>
      <c r="DI145" s="68">
        <f t="shared" si="162"/>
        <v>4.7123889803846897</v>
      </c>
      <c r="DJ145" s="68" t="e">
        <f t="shared" si="163"/>
        <v>#DIV/0!</v>
      </c>
      <c r="DK145" s="68" t="e">
        <f t="shared" si="164"/>
        <v>#DIV/0!</v>
      </c>
      <c r="DL145" s="68" t="e">
        <f t="shared" si="165"/>
        <v>#DIV/0!</v>
      </c>
      <c r="DM145" s="68" t="e">
        <f t="shared" si="166"/>
        <v>#DIV/0!</v>
      </c>
      <c r="DN145" s="68" t="e">
        <f t="shared" si="167"/>
        <v>#DIV/0!</v>
      </c>
      <c r="DO145" s="68" t="e">
        <f t="shared" si="168"/>
        <v>#DIV/0!</v>
      </c>
      <c r="DP145" s="68" t="e">
        <f t="shared" si="169"/>
        <v>#DIV/0!</v>
      </c>
      <c r="DQ145" s="68" t="e">
        <f t="shared" si="170"/>
        <v>#DIV/0!</v>
      </c>
      <c r="DR145" s="68" t="e">
        <f t="shared" si="171"/>
        <v>#DIV/0!</v>
      </c>
      <c r="DS145" s="68" t="e">
        <f t="shared" si="172"/>
        <v>#DIV/0!</v>
      </c>
      <c r="DT145" s="68" t="e">
        <f t="shared" si="173"/>
        <v>#DIV/0!</v>
      </c>
      <c r="DU145" s="68" t="e">
        <f t="shared" si="200"/>
        <v>#DIV/0!</v>
      </c>
      <c r="DV145" s="68" t="e">
        <f t="shared" si="174"/>
        <v>#DIV/0!</v>
      </c>
      <c r="DW145" s="68" t="e">
        <f t="shared" si="201"/>
        <v>#DIV/0!</v>
      </c>
      <c r="DX145" s="68">
        <f t="shared" si="175"/>
        <v>26.05841667</v>
      </c>
      <c r="DY145" s="68">
        <f t="shared" si="176"/>
        <v>80.134330559999995</v>
      </c>
      <c r="DZ145" s="68" t="e">
        <f t="shared" si="177"/>
        <v>#DIV/0!</v>
      </c>
      <c r="EA145" s="68" t="e">
        <f t="shared" si="178"/>
        <v>#DIV/0!</v>
      </c>
      <c r="EB145" s="68" t="e">
        <f t="shared" si="179"/>
        <v>#DIV/0!</v>
      </c>
      <c r="EC145" s="68" t="e">
        <f t="shared" si="180"/>
        <v>#DIV/0!</v>
      </c>
      <c r="ED145" s="68" t="e">
        <f t="shared" si="181"/>
        <v>#DIV/0!</v>
      </c>
      <c r="EE145" s="68" t="e">
        <f t="shared" si="182"/>
        <v>#DIV/0!</v>
      </c>
      <c r="EF145" s="68" t="e">
        <f t="shared" si="183"/>
        <v>#DIV/0!</v>
      </c>
      <c r="EG145" s="68" t="e">
        <f t="shared" si="184"/>
        <v>#DIV/0!</v>
      </c>
      <c r="EH145" s="68" t="e">
        <f t="shared" si="202"/>
        <v>#DIV/0!</v>
      </c>
      <c r="EI145" s="68" t="e">
        <f t="shared" si="185"/>
        <v>#DIV/0!</v>
      </c>
      <c r="EJ145" s="68" t="e">
        <f t="shared" si="186"/>
        <v>#DIV/0!</v>
      </c>
      <c r="EK145" s="68" t="e">
        <f t="shared" si="187"/>
        <v>#DIV/0!</v>
      </c>
      <c r="EL145" s="68" t="e">
        <f t="shared" si="188"/>
        <v>#DIV/0!</v>
      </c>
      <c r="EM145" s="68" t="e">
        <f t="shared" si="189"/>
        <v>#DIV/0!</v>
      </c>
      <c r="EN145" s="68" t="e">
        <f t="shared" si="190"/>
        <v>#DIV/0!</v>
      </c>
      <c r="EO145" s="68" t="e">
        <f t="shared" si="191"/>
        <v>#DIV/0!</v>
      </c>
      <c r="EP145" s="68" t="e">
        <f t="shared" si="192"/>
        <v>#DIV/0!</v>
      </c>
      <c r="EQ145" s="68" t="e">
        <f t="shared" si="193"/>
        <v>#DIV/0!</v>
      </c>
      <c r="ER145" s="68" t="e">
        <f t="shared" si="203"/>
        <v>#DIV/0!</v>
      </c>
    </row>
    <row r="146" spans="82:148" x14ac:dyDescent="0.25">
      <c r="CD146" s="68" t="s">
        <v>669</v>
      </c>
      <c r="CE146" s="69">
        <f t="shared" si="196"/>
        <v>260330.3</v>
      </c>
      <c r="CF146" s="69">
        <f t="shared" si="197"/>
        <v>800803.59</v>
      </c>
      <c r="CG146" s="70">
        <f t="shared" si="204"/>
        <v>270</v>
      </c>
      <c r="CH146" s="69">
        <f t="shared" si="194"/>
        <v>260330.30001199999</v>
      </c>
      <c r="CI146" s="69">
        <f t="shared" si="195"/>
        <v>800803.59001599997</v>
      </c>
      <c r="CJ146" s="68">
        <f t="shared" si="139"/>
        <v>26.05841667</v>
      </c>
      <c r="CK146" s="68">
        <f t="shared" si="140"/>
        <v>80.134330559999995</v>
      </c>
      <c r="CL146" s="68">
        <f t="shared" si="141"/>
        <v>26.05841667</v>
      </c>
      <c r="CM146" s="68">
        <f t="shared" si="142"/>
        <v>80.134330559999995</v>
      </c>
      <c r="CN146" s="68">
        <f t="shared" si="143"/>
        <v>0</v>
      </c>
      <c r="CO146" s="68">
        <f t="shared" si="144"/>
        <v>0</v>
      </c>
      <c r="CP146" s="68">
        <f t="shared" si="145"/>
        <v>0.43928729614546391</v>
      </c>
      <c r="CQ146" s="68">
        <f t="shared" si="146"/>
        <v>1.0027157713556663</v>
      </c>
      <c r="CR146" s="68">
        <f t="shared" si="147"/>
        <v>0</v>
      </c>
      <c r="CS146" s="68">
        <f t="shared" si="148"/>
        <v>0.48899531699999998</v>
      </c>
      <c r="CT146" s="68">
        <f t="shared" si="198"/>
        <v>0.23911642</v>
      </c>
      <c r="CU146" s="68">
        <f t="shared" si="149"/>
        <v>0</v>
      </c>
      <c r="CV146" s="68">
        <f t="shared" si="150"/>
        <v>0</v>
      </c>
      <c r="CW146" s="68">
        <f t="shared" si="151"/>
        <v>0</v>
      </c>
      <c r="CX146" s="68">
        <f t="shared" si="152"/>
        <v>0</v>
      </c>
      <c r="CY146" s="68">
        <f t="shared" si="153"/>
        <v>0</v>
      </c>
      <c r="CZ146" s="68" t="e">
        <f t="shared" si="154"/>
        <v>#DIV/0!</v>
      </c>
      <c r="DA146" s="68" t="e">
        <f t="shared" si="155"/>
        <v>#DIV/0!</v>
      </c>
      <c r="DB146" s="68" t="e">
        <f t="shared" si="156"/>
        <v>#DIV/0!</v>
      </c>
      <c r="DC146" s="68" t="e">
        <f t="shared" si="157"/>
        <v>#DIV/0!</v>
      </c>
      <c r="DD146" s="68" t="e">
        <f t="shared" si="158"/>
        <v>#DIV/0!</v>
      </c>
      <c r="DE146" s="68" t="e">
        <f t="shared" si="159"/>
        <v>#DIV/0!</v>
      </c>
      <c r="DF146" s="68" t="e">
        <f t="shared" si="199"/>
        <v>#DIV/0!</v>
      </c>
      <c r="DG146" s="68">
        <f t="shared" si="160"/>
        <v>0.45480516874807669</v>
      </c>
      <c r="DH146" s="68">
        <f t="shared" si="161"/>
        <v>1.3986079121535113</v>
      </c>
      <c r="DI146" s="68">
        <f t="shared" si="162"/>
        <v>4.7123889803846897</v>
      </c>
      <c r="DJ146" s="68" t="e">
        <f t="shared" si="163"/>
        <v>#DIV/0!</v>
      </c>
      <c r="DK146" s="68" t="e">
        <f t="shared" si="164"/>
        <v>#DIV/0!</v>
      </c>
      <c r="DL146" s="68" t="e">
        <f t="shared" si="165"/>
        <v>#DIV/0!</v>
      </c>
      <c r="DM146" s="68" t="e">
        <f t="shared" si="166"/>
        <v>#DIV/0!</v>
      </c>
      <c r="DN146" s="68" t="e">
        <f t="shared" si="167"/>
        <v>#DIV/0!</v>
      </c>
      <c r="DO146" s="68" t="e">
        <f t="shared" si="168"/>
        <v>#DIV/0!</v>
      </c>
      <c r="DP146" s="68" t="e">
        <f t="shared" si="169"/>
        <v>#DIV/0!</v>
      </c>
      <c r="DQ146" s="68" t="e">
        <f t="shared" si="170"/>
        <v>#DIV/0!</v>
      </c>
      <c r="DR146" s="68" t="e">
        <f t="shared" si="171"/>
        <v>#DIV/0!</v>
      </c>
      <c r="DS146" s="68" t="e">
        <f t="shared" si="172"/>
        <v>#DIV/0!</v>
      </c>
      <c r="DT146" s="68" t="e">
        <f t="shared" si="173"/>
        <v>#DIV/0!</v>
      </c>
      <c r="DU146" s="68" t="e">
        <f t="shared" si="200"/>
        <v>#DIV/0!</v>
      </c>
      <c r="DV146" s="68" t="e">
        <f t="shared" si="174"/>
        <v>#DIV/0!</v>
      </c>
      <c r="DW146" s="68" t="e">
        <f t="shared" si="201"/>
        <v>#DIV/0!</v>
      </c>
      <c r="DX146" s="68">
        <f t="shared" si="175"/>
        <v>26.05841667</v>
      </c>
      <c r="DY146" s="68">
        <f t="shared" si="176"/>
        <v>80.134330559999995</v>
      </c>
      <c r="DZ146" s="68" t="e">
        <f t="shared" si="177"/>
        <v>#DIV/0!</v>
      </c>
      <c r="EA146" s="68" t="e">
        <f t="shared" si="178"/>
        <v>#DIV/0!</v>
      </c>
      <c r="EB146" s="68" t="e">
        <f t="shared" si="179"/>
        <v>#DIV/0!</v>
      </c>
      <c r="EC146" s="68" t="e">
        <f t="shared" si="180"/>
        <v>#DIV/0!</v>
      </c>
      <c r="ED146" s="68" t="e">
        <f t="shared" si="181"/>
        <v>#DIV/0!</v>
      </c>
      <c r="EE146" s="68" t="e">
        <f t="shared" si="182"/>
        <v>#DIV/0!</v>
      </c>
      <c r="EF146" s="68" t="e">
        <f t="shared" si="183"/>
        <v>#DIV/0!</v>
      </c>
      <c r="EG146" s="68" t="e">
        <f t="shared" si="184"/>
        <v>#DIV/0!</v>
      </c>
      <c r="EH146" s="68" t="e">
        <f t="shared" si="202"/>
        <v>#DIV/0!</v>
      </c>
      <c r="EI146" s="68" t="e">
        <f t="shared" si="185"/>
        <v>#DIV/0!</v>
      </c>
      <c r="EJ146" s="68" t="e">
        <f t="shared" si="186"/>
        <v>#DIV/0!</v>
      </c>
      <c r="EK146" s="68" t="e">
        <f t="shared" si="187"/>
        <v>#DIV/0!</v>
      </c>
      <c r="EL146" s="68" t="e">
        <f t="shared" si="188"/>
        <v>#DIV/0!</v>
      </c>
      <c r="EM146" s="68" t="e">
        <f t="shared" si="189"/>
        <v>#DIV/0!</v>
      </c>
      <c r="EN146" s="68" t="e">
        <f t="shared" si="190"/>
        <v>#DIV/0!</v>
      </c>
      <c r="EO146" s="68" t="e">
        <f t="shared" si="191"/>
        <v>#DIV/0!</v>
      </c>
      <c r="EP146" s="68" t="e">
        <f t="shared" si="192"/>
        <v>#DIV/0!</v>
      </c>
      <c r="EQ146" s="68" t="e">
        <f t="shared" si="193"/>
        <v>#DIV/0!</v>
      </c>
      <c r="ER146" s="68" t="e">
        <f t="shared" si="203"/>
        <v>#DIV/0!</v>
      </c>
    </row>
    <row r="147" spans="82:148" x14ac:dyDescent="0.25">
      <c r="CD147" s="68" t="s">
        <v>670</v>
      </c>
      <c r="CE147" s="69">
        <f t="shared" si="196"/>
        <v>260330.3</v>
      </c>
      <c r="CF147" s="69">
        <f t="shared" si="197"/>
        <v>800803.59</v>
      </c>
      <c r="CG147" s="70">
        <f t="shared" si="204"/>
        <v>270</v>
      </c>
      <c r="CH147" s="69">
        <f t="shared" si="194"/>
        <v>260330.30001199999</v>
      </c>
      <c r="CI147" s="69">
        <f t="shared" si="195"/>
        <v>800803.59001599997</v>
      </c>
      <c r="CJ147" s="68">
        <f t="shared" si="139"/>
        <v>26.05841667</v>
      </c>
      <c r="CK147" s="68">
        <f t="shared" si="140"/>
        <v>80.134330559999995</v>
      </c>
      <c r="CL147" s="68">
        <f t="shared" si="141"/>
        <v>26.05841667</v>
      </c>
      <c r="CM147" s="68">
        <f t="shared" si="142"/>
        <v>80.134330559999995</v>
      </c>
      <c r="CN147" s="68">
        <f t="shared" si="143"/>
        <v>0</v>
      </c>
      <c r="CO147" s="68">
        <f t="shared" si="144"/>
        <v>0</v>
      </c>
      <c r="CP147" s="68">
        <f t="shared" si="145"/>
        <v>0.43928729614546391</v>
      </c>
      <c r="CQ147" s="68">
        <f t="shared" si="146"/>
        <v>1.0027157713556663</v>
      </c>
      <c r="CR147" s="68">
        <f t="shared" si="147"/>
        <v>0</v>
      </c>
      <c r="CS147" s="68">
        <f t="shared" si="148"/>
        <v>0.48899531699999998</v>
      </c>
      <c r="CT147" s="68">
        <f t="shared" si="198"/>
        <v>0.23911642</v>
      </c>
      <c r="CU147" s="68">
        <f t="shared" si="149"/>
        <v>0</v>
      </c>
      <c r="CV147" s="68">
        <f t="shared" si="150"/>
        <v>0</v>
      </c>
      <c r="CW147" s="68">
        <f t="shared" si="151"/>
        <v>0</v>
      </c>
      <c r="CX147" s="68">
        <f t="shared" si="152"/>
        <v>0</v>
      </c>
      <c r="CY147" s="68">
        <f t="shared" si="153"/>
        <v>0</v>
      </c>
      <c r="CZ147" s="68" t="e">
        <f t="shared" si="154"/>
        <v>#DIV/0!</v>
      </c>
      <c r="DA147" s="68" t="e">
        <f t="shared" si="155"/>
        <v>#DIV/0!</v>
      </c>
      <c r="DB147" s="68" t="e">
        <f t="shared" si="156"/>
        <v>#DIV/0!</v>
      </c>
      <c r="DC147" s="68" t="e">
        <f t="shared" si="157"/>
        <v>#DIV/0!</v>
      </c>
      <c r="DD147" s="68" t="e">
        <f t="shared" si="158"/>
        <v>#DIV/0!</v>
      </c>
      <c r="DE147" s="68" t="e">
        <f t="shared" si="159"/>
        <v>#DIV/0!</v>
      </c>
      <c r="DF147" s="68" t="e">
        <f t="shared" si="199"/>
        <v>#DIV/0!</v>
      </c>
      <c r="DG147" s="68">
        <f t="shared" si="160"/>
        <v>0.45480516874807669</v>
      </c>
      <c r="DH147" s="68">
        <f t="shared" si="161"/>
        <v>1.3986079121535113</v>
      </c>
      <c r="DI147" s="68">
        <f t="shared" si="162"/>
        <v>4.7123889803846897</v>
      </c>
      <c r="DJ147" s="68" t="e">
        <f t="shared" si="163"/>
        <v>#DIV/0!</v>
      </c>
      <c r="DK147" s="68" t="e">
        <f t="shared" si="164"/>
        <v>#DIV/0!</v>
      </c>
      <c r="DL147" s="68" t="e">
        <f t="shared" si="165"/>
        <v>#DIV/0!</v>
      </c>
      <c r="DM147" s="68" t="e">
        <f t="shared" si="166"/>
        <v>#DIV/0!</v>
      </c>
      <c r="DN147" s="68" t="e">
        <f t="shared" si="167"/>
        <v>#DIV/0!</v>
      </c>
      <c r="DO147" s="68" t="e">
        <f t="shared" si="168"/>
        <v>#DIV/0!</v>
      </c>
      <c r="DP147" s="68" t="e">
        <f t="shared" si="169"/>
        <v>#DIV/0!</v>
      </c>
      <c r="DQ147" s="68" t="e">
        <f t="shared" si="170"/>
        <v>#DIV/0!</v>
      </c>
      <c r="DR147" s="68" t="e">
        <f t="shared" si="171"/>
        <v>#DIV/0!</v>
      </c>
      <c r="DS147" s="68" t="e">
        <f t="shared" si="172"/>
        <v>#DIV/0!</v>
      </c>
      <c r="DT147" s="68" t="e">
        <f t="shared" si="173"/>
        <v>#DIV/0!</v>
      </c>
      <c r="DU147" s="68" t="e">
        <f t="shared" si="200"/>
        <v>#DIV/0!</v>
      </c>
      <c r="DV147" s="68" t="e">
        <f t="shared" si="174"/>
        <v>#DIV/0!</v>
      </c>
      <c r="DW147" s="68" t="e">
        <f t="shared" si="201"/>
        <v>#DIV/0!</v>
      </c>
      <c r="DX147" s="68">
        <f t="shared" si="175"/>
        <v>26.05841667</v>
      </c>
      <c r="DY147" s="68">
        <f t="shared" si="176"/>
        <v>80.134330559999995</v>
      </c>
      <c r="DZ147" s="68" t="e">
        <f t="shared" si="177"/>
        <v>#DIV/0!</v>
      </c>
      <c r="EA147" s="68" t="e">
        <f t="shared" si="178"/>
        <v>#DIV/0!</v>
      </c>
      <c r="EB147" s="68" t="e">
        <f t="shared" si="179"/>
        <v>#DIV/0!</v>
      </c>
      <c r="EC147" s="68" t="e">
        <f t="shared" si="180"/>
        <v>#DIV/0!</v>
      </c>
      <c r="ED147" s="68" t="e">
        <f t="shared" si="181"/>
        <v>#DIV/0!</v>
      </c>
      <c r="EE147" s="68" t="e">
        <f t="shared" si="182"/>
        <v>#DIV/0!</v>
      </c>
      <c r="EF147" s="68" t="e">
        <f t="shared" si="183"/>
        <v>#DIV/0!</v>
      </c>
      <c r="EG147" s="68" t="e">
        <f t="shared" si="184"/>
        <v>#DIV/0!</v>
      </c>
      <c r="EH147" s="68" t="e">
        <f t="shared" si="202"/>
        <v>#DIV/0!</v>
      </c>
      <c r="EI147" s="68" t="e">
        <f t="shared" si="185"/>
        <v>#DIV/0!</v>
      </c>
      <c r="EJ147" s="68" t="e">
        <f t="shared" si="186"/>
        <v>#DIV/0!</v>
      </c>
      <c r="EK147" s="68" t="e">
        <f t="shared" si="187"/>
        <v>#DIV/0!</v>
      </c>
      <c r="EL147" s="68" t="e">
        <f t="shared" si="188"/>
        <v>#DIV/0!</v>
      </c>
      <c r="EM147" s="68" t="e">
        <f t="shared" si="189"/>
        <v>#DIV/0!</v>
      </c>
      <c r="EN147" s="68" t="e">
        <f t="shared" si="190"/>
        <v>#DIV/0!</v>
      </c>
      <c r="EO147" s="68" t="e">
        <f t="shared" si="191"/>
        <v>#DIV/0!</v>
      </c>
      <c r="EP147" s="68" t="e">
        <f t="shared" si="192"/>
        <v>#DIV/0!</v>
      </c>
      <c r="EQ147" s="68" t="e">
        <f t="shared" si="193"/>
        <v>#DIV/0!</v>
      </c>
      <c r="ER147" s="68" t="e">
        <f t="shared" si="203"/>
        <v>#DIV/0!</v>
      </c>
    </row>
    <row r="148" spans="82:148" x14ac:dyDescent="0.25">
      <c r="CD148" s="68" t="s">
        <v>671</v>
      </c>
      <c r="CE148" s="69">
        <f t="shared" si="196"/>
        <v>260330.3</v>
      </c>
      <c r="CF148" s="69">
        <f t="shared" si="197"/>
        <v>800803.59</v>
      </c>
      <c r="CG148" s="70">
        <f t="shared" si="204"/>
        <v>270</v>
      </c>
      <c r="CH148" s="69">
        <f t="shared" si="194"/>
        <v>260330.30001199999</v>
      </c>
      <c r="CI148" s="69">
        <f t="shared" si="195"/>
        <v>800803.59001599997</v>
      </c>
      <c r="CJ148" s="68">
        <f t="shared" si="139"/>
        <v>26.05841667</v>
      </c>
      <c r="CK148" s="68">
        <f t="shared" si="140"/>
        <v>80.134330559999995</v>
      </c>
      <c r="CL148" s="68">
        <f t="shared" si="141"/>
        <v>26.05841667</v>
      </c>
      <c r="CM148" s="68">
        <f t="shared" si="142"/>
        <v>80.134330559999995</v>
      </c>
      <c r="CN148" s="68">
        <f t="shared" si="143"/>
        <v>0</v>
      </c>
      <c r="CO148" s="68">
        <f t="shared" si="144"/>
        <v>0</v>
      </c>
      <c r="CP148" s="68">
        <f t="shared" si="145"/>
        <v>0.43928729614546391</v>
      </c>
      <c r="CQ148" s="68">
        <f t="shared" si="146"/>
        <v>1.0027157713556663</v>
      </c>
      <c r="CR148" s="68">
        <f t="shared" si="147"/>
        <v>0</v>
      </c>
      <c r="CS148" s="68">
        <f t="shared" si="148"/>
        <v>0.48899531699999998</v>
      </c>
      <c r="CT148" s="68">
        <f t="shared" si="198"/>
        <v>0.23911642</v>
      </c>
      <c r="CU148" s="68">
        <f t="shared" si="149"/>
        <v>0</v>
      </c>
      <c r="CV148" s="68">
        <f t="shared" si="150"/>
        <v>0</v>
      </c>
      <c r="CW148" s="68">
        <f t="shared" si="151"/>
        <v>0</v>
      </c>
      <c r="CX148" s="68">
        <f t="shared" si="152"/>
        <v>0</v>
      </c>
      <c r="CY148" s="68">
        <f t="shared" si="153"/>
        <v>0</v>
      </c>
      <c r="CZ148" s="68" t="e">
        <f t="shared" si="154"/>
        <v>#DIV/0!</v>
      </c>
      <c r="DA148" s="68" t="e">
        <f t="shared" si="155"/>
        <v>#DIV/0!</v>
      </c>
      <c r="DB148" s="68" t="e">
        <f t="shared" si="156"/>
        <v>#DIV/0!</v>
      </c>
      <c r="DC148" s="68" t="e">
        <f t="shared" si="157"/>
        <v>#DIV/0!</v>
      </c>
      <c r="DD148" s="68" t="e">
        <f t="shared" si="158"/>
        <v>#DIV/0!</v>
      </c>
      <c r="DE148" s="68" t="e">
        <f t="shared" si="159"/>
        <v>#DIV/0!</v>
      </c>
      <c r="DF148" s="68" t="e">
        <f t="shared" si="199"/>
        <v>#DIV/0!</v>
      </c>
      <c r="DG148" s="68">
        <f t="shared" si="160"/>
        <v>0.45480516874807669</v>
      </c>
      <c r="DH148" s="68">
        <f t="shared" si="161"/>
        <v>1.3986079121535113</v>
      </c>
      <c r="DI148" s="68">
        <f t="shared" si="162"/>
        <v>4.7123889803846897</v>
      </c>
      <c r="DJ148" s="68" t="e">
        <f t="shared" si="163"/>
        <v>#DIV/0!</v>
      </c>
      <c r="DK148" s="68" t="e">
        <f t="shared" si="164"/>
        <v>#DIV/0!</v>
      </c>
      <c r="DL148" s="68" t="e">
        <f t="shared" si="165"/>
        <v>#DIV/0!</v>
      </c>
      <c r="DM148" s="68" t="e">
        <f t="shared" si="166"/>
        <v>#DIV/0!</v>
      </c>
      <c r="DN148" s="68" t="e">
        <f t="shared" si="167"/>
        <v>#DIV/0!</v>
      </c>
      <c r="DO148" s="68" t="e">
        <f t="shared" si="168"/>
        <v>#DIV/0!</v>
      </c>
      <c r="DP148" s="68" t="e">
        <f t="shared" si="169"/>
        <v>#DIV/0!</v>
      </c>
      <c r="DQ148" s="68" t="e">
        <f t="shared" si="170"/>
        <v>#DIV/0!</v>
      </c>
      <c r="DR148" s="68" t="e">
        <f t="shared" si="171"/>
        <v>#DIV/0!</v>
      </c>
      <c r="DS148" s="68" t="e">
        <f t="shared" si="172"/>
        <v>#DIV/0!</v>
      </c>
      <c r="DT148" s="68" t="e">
        <f t="shared" si="173"/>
        <v>#DIV/0!</v>
      </c>
      <c r="DU148" s="68" t="e">
        <f t="shared" si="200"/>
        <v>#DIV/0!</v>
      </c>
      <c r="DV148" s="68" t="e">
        <f t="shared" si="174"/>
        <v>#DIV/0!</v>
      </c>
      <c r="DW148" s="68" t="e">
        <f t="shared" si="201"/>
        <v>#DIV/0!</v>
      </c>
      <c r="DX148" s="68">
        <f t="shared" si="175"/>
        <v>26.05841667</v>
      </c>
      <c r="DY148" s="68">
        <f t="shared" si="176"/>
        <v>80.134330559999995</v>
      </c>
      <c r="DZ148" s="68" t="e">
        <f t="shared" si="177"/>
        <v>#DIV/0!</v>
      </c>
      <c r="EA148" s="68" t="e">
        <f t="shared" si="178"/>
        <v>#DIV/0!</v>
      </c>
      <c r="EB148" s="68" t="e">
        <f t="shared" si="179"/>
        <v>#DIV/0!</v>
      </c>
      <c r="EC148" s="68" t="e">
        <f t="shared" si="180"/>
        <v>#DIV/0!</v>
      </c>
      <c r="ED148" s="68" t="e">
        <f t="shared" si="181"/>
        <v>#DIV/0!</v>
      </c>
      <c r="EE148" s="68" t="e">
        <f t="shared" si="182"/>
        <v>#DIV/0!</v>
      </c>
      <c r="EF148" s="68" t="e">
        <f t="shared" si="183"/>
        <v>#DIV/0!</v>
      </c>
      <c r="EG148" s="68" t="e">
        <f t="shared" si="184"/>
        <v>#DIV/0!</v>
      </c>
      <c r="EH148" s="68" t="e">
        <f t="shared" si="202"/>
        <v>#DIV/0!</v>
      </c>
      <c r="EI148" s="68" t="e">
        <f t="shared" si="185"/>
        <v>#DIV/0!</v>
      </c>
      <c r="EJ148" s="68" t="e">
        <f t="shared" si="186"/>
        <v>#DIV/0!</v>
      </c>
      <c r="EK148" s="68" t="e">
        <f t="shared" si="187"/>
        <v>#DIV/0!</v>
      </c>
      <c r="EL148" s="68" t="e">
        <f t="shared" si="188"/>
        <v>#DIV/0!</v>
      </c>
      <c r="EM148" s="68" t="e">
        <f t="shared" si="189"/>
        <v>#DIV/0!</v>
      </c>
      <c r="EN148" s="68" t="e">
        <f t="shared" si="190"/>
        <v>#DIV/0!</v>
      </c>
      <c r="EO148" s="68" t="e">
        <f t="shared" si="191"/>
        <v>#DIV/0!</v>
      </c>
      <c r="EP148" s="68" t="e">
        <f t="shared" si="192"/>
        <v>#DIV/0!</v>
      </c>
      <c r="EQ148" s="68" t="e">
        <f t="shared" si="193"/>
        <v>#DIV/0!</v>
      </c>
      <c r="ER148" s="68" t="e">
        <f t="shared" si="203"/>
        <v>#DIV/0!</v>
      </c>
    </row>
    <row r="149" spans="82:148" x14ac:dyDescent="0.25">
      <c r="CD149" s="68" t="s">
        <v>672</v>
      </c>
      <c r="CE149" s="69">
        <f t="shared" si="196"/>
        <v>260330.3</v>
      </c>
      <c r="CF149" s="69">
        <f t="shared" si="197"/>
        <v>800803.59</v>
      </c>
      <c r="CG149" s="70">
        <f t="shared" si="204"/>
        <v>270</v>
      </c>
      <c r="CH149" s="69">
        <f t="shared" si="194"/>
        <v>260330.30001199999</v>
      </c>
      <c r="CI149" s="69">
        <f t="shared" si="195"/>
        <v>800803.59001599997</v>
      </c>
      <c r="CJ149" s="68">
        <f t="shared" si="139"/>
        <v>26.05841667</v>
      </c>
      <c r="CK149" s="68">
        <f t="shared" si="140"/>
        <v>80.134330559999995</v>
      </c>
      <c r="CL149" s="68">
        <f t="shared" si="141"/>
        <v>26.05841667</v>
      </c>
      <c r="CM149" s="68">
        <f t="shared" si="142"/>
        <v>80.134330559999995</v>
      </c>
      <c r="CN149" s="68">
        <f t="shared" si="143"/>
        <v>0</v>
      </c>
      <c r="CO149" s="68">
        <f t="shared" si="144"/>
        <v>0</v>
      </c>
      <c r="CP149" s="68">
        <f t="shared" si="145"/>
        <v>0.43928729614546391</v>
      </c>
      <c r="CQ149" s="68">
        <f t="shared" si="146"/>
        <v>1.0027157713556663</v>
      </c>
      <c r="CR149" s="68">
        <f t="shared" si="147"/>
        <v>0</v>
      </c>
      <c r="CS149" s="68">
        <f t="shared" si="148"/>
        <v>0.48899531699999998</v>
      </c>
      <c r="CT149" s="68">
        <f t="shared" si="198"/>
        <v>0.23911642</v>
      </c>
      <c r="CU149" s="68">
        <f t="shared" si="149"/>
        <v>0</v>
      </c>
      <c r="CV149" s="68">
        <f t="shared" si="150"/>
        <v>0</v>
      </c>
      <c r="CW149" s="68">
        <f t="shared" si="151"/>
        <v>0</v>
      </c>
      <c r="CX149" s="68">
        <f t="shared" si="152"/>
        <v>0</v>
      </c>
      <c r="CY149" s="68">
        <f t="shared" si="153"/>
        <v>0</v>
      </c>
      <c r="CZ149" s="68" t="e">
        <f t="shared" si="154"/>
        <v>#DIV/0!</v>
      </c>
      <c r="DA149" s="68" t="e">
        <f t="shared" si="155"/>
        <v>#DIV/0!</v>
      </c>
      <c r="DB149" s="68" t="e">
        <f t="shared" si="156"/>
        <v>#DIV/0!</v>
      </c>
      <c r="DC149" s="68" t="e">
        <f t="shared" si="157"/>
        <v>#DIV/0!</v>
      </c>
      <c r="DD149" s="68" t="e">
        <f t="shared" si="158"/>
        <v>#DIV/0!</v>
      </c>
      <c r="DE149" s="68" t="e">
        <f t="shared" si="159"/>
        <v>#DIV/0!</v>
      </c>
      <c r="DF149" s="68" t="e">
        <f t="shared" si="199"/>
        <v>#DIV/0!</v>
      </c>
      <c r="DG149" s="68">
        <f t="shared" si="160"/>
        <v>0.45480516874807669</v>
      </c>
      <c r="DH149" s="68">
        <f t="shared" si="161"/>
        <v>1.3986079121535113</v>
      </c>
      <c r="DI149" s="68">
        <f t="shared" si="162"/>
        <v>4.7123889803846897</v>
      </c>
      <c r="DJ149" s="68" t="e">
        <f t="shared" si="163"/>
        <v>#DIV/0!</v>
      </c>
      <c r="DK149" s="68" t="e">
        <f t="shared" si="164"/>
        <v>#DIV/0!</v>
      </c>
      <c r="DL149" s="68" t="e">
        <f t="shared" si="165"/>
        <v>#DIV/0!</v>
      </c>
      <c r="DM149" s="68" t="e">
        <f t="shared" si="166"/>
        <v>#DIV/0!</v>
      </c>
      <c r="DN149" s="68" t="e">
        <f t="shared" si="167"/>
        <v>#DIV/0!</v>
      </c>
      <c r="DO149" s="68" t="e">
        <f t="shared" si="168"/>
        <v>#DIV/0!</v>
      </c>
      <c r="DP149" s="68" t="e">
        <f t="shared" si="169"/>
        <v>#DIV/0!</v>
      </c>
      <c r="DQ149" s="68" t="e">
        <f t="shared" si="170"/>
        <v>#DIV/0!</v>
      </c>
      <c r="DR149" s="68" t="e">
        <f t="shared" si="171"/>
        <v>#DIV/0!</v>
      </c>
      <c r="DS149" s="68" t="e">
        <f t="shared" si="172"/>
        <v>#DIV/0!</v>
      </c>
      <c r="DT149" s="68" t="e">
        <f t="shared" si="173"/>
        <v>#DIV/0!</v>
      </c>
      <c r="DU149" s="68" t="e">
        <f t="shared" si="200"/>
        <v>#DIV/0!</v>
      </c>
      <c r="DV149" s="68" t="e">
        <f t="shared" si="174"/>
        <v>#DIV/0!</v>
      </c>
      <c r="DW149" s="68" t="e">
        <f t="shared" si="201"/>
        <v>#DIV/0!</v>
      </c>
      <c r="DX149" s="68">
        <f t="shared" si="175"/>
        <v>26.05841667</v>
      </c>
      <c r="DY149" s="68">
        <f t="shared" si="176"/>
        <v>80.134330559999995</v>
      </c>
      <c r="DZ149" s="68" t="e">
        <f t="shared" si="177"/>
        <v>#DIV/0!</v>
      </c>
      <c r="EA149" s="68" t="e">
        <f t="shared" si="178"/>
        <v>#DIV/0!</v>
      </c>
      <c r="EB149" s="68" t="e">
        <f t="shared" si="179"/>
        <v>#DIV/0!</v>
      </c>
      <c r="EC149" s="68" t="e">
        <f t="shared" si="180"/>
        <v>#DIV/0!</v>
      </c>
      <c r="ED149" s="68" t="e">
        <f t="shared" si="181"/>
        <v>#DIV/0!</v>
      </c>
      <c r="EE149" s="68" t="e">
        <f t="shared" si="182"/>
        <v>#DIV/0!</v>
      </c>
      <c r="EF149" s="68" t="e">
        <f t="shared" si="183"/>
        <v>#DIV/0!</v>
      </c>
      <c r="EG149" s="68" t="e">
        <f t="shared" si="184"/>
        <v>#DIV/0!</v>
      </c>
      <c r="EH149" s="68" t="e">
        <f t="shared" si="202"/>
        <v>#DIV/0!</v>
      </c>
      <c r="EI149" s="68" t="e">
        <f t="shared" si="185"/>
        <v>#DIV/0!</v>
      </c>
      <c r="EJ149" s="68" t="e">
        <f t="shared" si="186"/>
        <v>#DIV/0!</v>
      </c>
      <c r="EK149" s="68" t="e">
        <f t="shared" si="187"/>
        <v>#DIV/0!</v>
      </c>
      <c r="EL149" s="68" t="e">
        <f t="shared" si="188"/>
        <v>#DIV/0!</v>
      </c>
      <c r="EM149" s="68" t="e">
        <f t="shared" si="189"/>
        <v>#DIV/0!</v>
      </c>
      <c r="EN149" s="68" t="e">
        <f t="shared" si="190"/>
        <v>#DIV/0!</v>
      </c>
      <c r="EO149" s="68" t="e">
        <f t="shared" si="191"/>
        <v>#DIV/0!</v>
      </c>
      <c r="EP149" s="68" t="e">
        <f t="shared" si="192"/>
        <v>#DIV/0!</v>
      </c>
      <c r="EQ149" s="68" t="e">
        <f t="shared" si="193"/>
        <v>#DIV/0!</v>
      </c>
      <c r="ER149" s="68" t="e">
        <f t="shared" si="203"/>
        <v>#DIV/0!</v>
      </c>
    </row>
    <row r="150" spans="82:148" x14ac:dyDescent="0.25">
      <c r="CD150" s="68" t="s">
        <v>673</v>
      </c>
      <c r="CE150" s="69">
        <f t="shared" si="196"/>
        <v>260330.3</v>
      </c>
      <c r="CF150" s="69">
        <f t="shared" si="197"/>
        <v>800803.59</v>
      </c>
      <c r="CG150" s="70">
        <f t="shared" si="204"/>
        <v>270</v>
      </c>
      <c r="CH150" s="69">
        <f t="shared" si="194"/>
        <v>260330.30001199999</v>
      </c>
      <c r="CI150" s="69">
        <f t="shared" si="195"/>
        <v>800803.59001599997</v>
      </c>
      <c r="CJ150" s="68">
        <f t="shared" si="139"/>
        <v>26.05841667</v>
      </c>
      <c r="CK150" s="68">
        <f t="shared" si="140"/>
        <v>80.134330559999995</v>
      </c>
      <c r="CL150" s="68">
        <f t="shared" si="141"/>
        <v>26.05841667</v>
      </c>
      <c r="CM150" s="68">
        <f t="shared" si="142"/>
        <v>80.134330559999995</v>
      </c>
      <c r="CN150" s="68">
        <f t="shared" si="143"/>
        <v>0</v>
      </c>
      <c r="CO150" s="68">
        <f t="shared" si="144"/>
        <v>0</v>
      </c>
      <c r="CP150" s="68">
        <f t="shared" si="145"/>
        <v>0.43928729614546391</v>
      </c>
      <c r="CQ150" s="68">
        <f t="shared" si="146"/>
        <v>1.0027157713556663</v>
      </c>
      <c r="CR150" s="68">
        <f t="shared" si="147"/>
        <v>0</v>
      </c>
      <c r="CS150" s="68">
        <f t="shared" si="148"/>
        <v>0.48899531699999998</v>
      </c>
      <c r="CT150" s="68">
        <f t="shared" si="198"/>
        <v>0.23911642</v>
      </c>
      <c r="CU150" s="68">
        <f t="shared" si="149"/>
        <v>0</v>
      </c>
      <c r="CV150" s="68">
        <f t="shared" si="150"/>
        <v>0</v>
      </c>
      <c r="CW150" s="68">
        <f t="shared" si="151"/>
        <v>0</v>
      </c>
      <c r="CX150" s="68">
        <f t="shared" si="152"/>
        <v>0</v>
      </c>
      <c r="CY150" s="68">
        <f t="shared" si="153"/>
        <v>0</v>
      </c>
      <c r="CZ150" s="68" t="e">
        <f t="shared" si="154"/>
        <v>#DIV/0!</v>
      </c>
      <c r="DA150" s="68" t="e">
        <f t="shared" si="155"/>
        <v>#DIV/0!</v>
      </c>
      <c r="DB150" s="68" t="e">
        <f t="shared" si="156"/>
        <v>#DIV/0!</v>
      </c>
      <c r="DC150" s="68" t="e">
        <f t="shared" si="157"/>
        <v>#DIV/0!</v>
      </c>
      <c r="DD150" s="68" t="e">
        <f t="shared" si="158"/>
        <v>#DIV/0!</v>
      </c>
      <c r="DE150" s="68" t="e">
        <f t="shared" si="159"/>
        <v>#DIV/0!</v>
      </c>
      <c r="DF150" s="68" t="e">
        <f t="shared" si="199"/>
        <v>#DIV/0!</v>
      </c>
      <c r="DG150" s="68">
        <f t="shared" si="160"/>
        <v>0.45480516874807669</v>
      </c>
      <c r="DH150" s="68">
        <f t="shared" si="161"/>
        <v>1.3986079121535113</v>
      </c>
      <c r="DI150" s="68">
        <f t="shared" si="162"/>
        <v>4.7123889803846897</v>
      </c>
      <c r="DJ150" s="68" t="e">
        <f t="shared" si="163"/>
        <v>#DIV/0!</v>
      </c>
      <c r="DK150" s="68" t="e">
        <f t="shared" si="164"/>
        <v>#DIV/0!</v>
      </c>
      <c r="DL150" s="68" t="e">
        <f t="shared" si="165"/>
        <v>#DIV/0!</v>
      </c>
      <c r="DM150" s="68" t="e">
        <f t="shared" si="166"/>
        <v>#DIV/0!</v>
      </c>
      <c r="DN150" s="68" t="e">
        <f t="shared" si="167"/>
        <v>#DIV/0!</v>
      </c>
      <c r="DO150" s="68" t="e">
        <f t="shared" si="168"/>
        <v>#DIV/0!</v>
      </c>
      <c r="DP150" s="68" t="e">
        <f t="shared" si="169"/>
        <v>#DIV/0!</v>
      </c>
      <c r="DQ150" s="68" t="e">
        <f t="shared" si="170"/>
        <v>#DIV/0!</v>
      </c>
      <c r="DR150" s="68" t="e">
        <f t="shared" si="171"/>
        <v>#DIV/0!</v>
      </c>
      <c r="DS150" s="68" t="e">
        <f t="shared" si="172"/>
        <v>#DIV/0!</v>
      </c>
      <c r="DT150" s="68" t="e">
        <f t="shared" si="173"/>
        <v>#DIV/0!</v>
      </c>
      <c r="DU150" s="68" t="e">
        <f t="shared" si="200"/>
        <v>#DIV/0!</v>
      </c>
      <c r="DV150" s="68" t="e">
        <f t="shared" si="174"/>
        <v>#DIV/0!</v>
      </c>
      <c r="DW150" s="68" t="e">
        <f t="shared" si="201"/>
        <v>#DIV/0!</v>
      </c>
      <c r="DX150" s="68">
        <f t="shared" si="175"/>
        <v>26.05841667</v>
      </c>
      <c r="DY150" s="68">
        <f t="shared" si="176"/>
        <v>80.134330559999995</v>
      </c>
      <c r="DZ150" s="68" t="e">
        <f t="shared" si="177"/>
        <v>#DIV/0!</v>
      </c>
      <c r="EA150" s="68" t="e">
        <f t="shared" si="178"/>
        <v>#DIV/0!</v>
      </c>
      <c r="EB150" s="68" t="e">
        <f t="shared" si="179"/>
        <v>#DIV/0!</v>
      </c>
      <c r="EC150" s="68" t="e">
        <f t="shared" si="180"/>
        <v>#DIV/0!</v>
      </c>
      <c r="ED150" s="68" t="e">
        <f t="shared" si="181"/>
        <v>#DIV/0!</v>
      </c>
      <c r="EE150" s="68" t="e">
        <f t="shared" si="182"/>
        <v>#DIV/0!</v>
      </c>
      <c r="EF150" s="68" t="e">
        <f t="shared" si="183"/>
        <v>#DIV/0!</v>
      </c>
      <c r="EG150" s="68" t="e">
        <f t="shared" si="184"/>
        <v>#DIV/0!</v>
      </c>
      <c r="EH150" s="68" t="e">
        <f t="shared" si="202"/>
        <v>#DIV/0!</v>
      </c>
      <c r="EI150" s="68" t="e">
        <f t="shared" si="185"/>
        <v>#DIV/0!</v>
      </c>
      <c r="EJ150" s="68" t="e">
        <f t="shared" si="186"/>
        <v>#DIV/0!</v>
      </c>
      <c r="EK150" s="68" t="e">
        <f t="shared" si="187"/>
        <v>#DIV/0!</v>
      </c>
      <c r="EL150" s="68" t="e">
        <f t="shared" si="188"/>
        <v>#DIV/0!</v>
      </c>
      <c r="EM150" s="68" t="e">
        <f t="shared" si="189"/>
        <v>#DIV/0!</v>
      </c>
      <c r="EN150" s="68" t="e">
        <f t="shared" si="190"/>
        <v>#DIV/0!</v>
      </c>
      <c r="EO150" s="68" t="e">
        <f t="shared" si="191"/>
        <v>#DIV/0!</v>
      </c>
      <c r="EP150" s="68" t="e">
        <f t="shared" si="192"/>
        <v>#DIV/0!</v>
      </c>
      <c r="EQ150" s="68" t="e">
        <f t="shared" si="193"/>
        <v>#DIV/0!</v>
      </c>
      <c r="ER150" s="68" t="e">
        <f t="shared" si="203"/>
        <v>#DIV/0!</v>
      </c>
    </row>
    <row r="151" spans="82:148" x14ac:dyDescent="0.25">
      <c r="CD151" s="68" t="s">
        <v>674</v>
      </c>
      <c r="CE151" s="69">
        <f t="shared" si="196"/>
        <v>260330.3</v>
      </c>
      <c r="CF151" s="69">
        <f t="shared" si="197"/>
        <v>800803.59</v>
      </c>
      <c r="CG151" s="70">
        <f t="shared" si="204"/>
        <v>270</v>
      </c>
      <c r="CH151" s="69">
        <f t="shared" si="194"/>
        <v>260330.30001199999</v>
      </c>
      <c r="CI151" s="69">
        <f t="shared" si="195"/>
        <v>800803.59001599997</v>
      </c>
      <c r="CJ151" s="68">
        <f t="shared" si="139"/>
        <v>26.05841667</v>
      </c>
      <c r="CK151" s="68">
        <f t="shared" si="140"/>
        <v>80.134330559999995</v>
      </c>
      <c r="CL151" s="68">
        <f t="shared" si="141"/>
        <v>26.05841667</v>
      </c>
      <c r="CM151" s="68">
        <f t="shared" si="142"/>
        <v>80.134330559999995</v>
      </c>
      <c r="CN151" s="68">
        <f t="shared" si="143"/>
        <v>0</v>
      </c>
      <c r="CO151" s="68">
        <f t="shared" si="144"/>
        <v>0</v>
      </c>
      <c r="CP151" s="68">
        <f t="shared" si="145"/>
        <v>0.43928729614546391</v>
      </c>
      <c r="CQ151" s="68">
        <f t="shared" si="146"/>
        <v>1.0027157713556663</v>
      </c>
      <c r="CR151" s="68">
        <f t="shared" si="147"/>
        <v>0</v>
      </c>
      <c r="CS151" s="68">
        <f t="shared" si="148"/>
        <v>0.48899531699999998</v>
      </c>
      <c r="CT151" s="68">
        <f t="shared" si="198"/>
        <v>0.23911642</v>
      </c>
      <c r="CU151" s="68">
        <f t="shared" si="149"/>
        <v>0</v>
      </c>
      <c r="CV151" s="68">
        <f t="shared" si="150"/>
        <v>0</v>
      </c>
      <c r="CW151" s="68">
        <f t="shared" si="151"/>
        <v>0</v>
      </c>
      <c r="CX151" s="68">
        <f t="shared" si="152"/>
        <v>0</v>
      </c>
      <c r="CY151" s="68">
        <f t="shared" si="153"/>
        <v>0</v>
      </c>
      <c r="CZ151" s="68" t="e">
        <f t="shared" si="154"/>
        <v>#DIV/0!</v>
      </c>
      <c r="DA151" s="68" t="e">
        <f t="shared" si="155"/>
        <v>#DIV/0!</v>
      </c>
      <c r="DB151" s="68" t="e">
        <f t="shared" si="156"/>
        <v>#DIV/0!</v>
      </c>
      <c r="DC151" s="68" t="e">
        <f t="shared" si="157"/>
        <v>#DIV/0!</v>
      </c>
      <c r="DD151" s="68" t="e">
        <f t="shared" si="158"/>
        <v>#DIV/0!</v>
      </c>
      <c r="DE151" s="68" t="e">
        <f t="shared" si="159"/>
        <v>#DIV/0!</v>
      </c>
      <c r="DF151" s="68" t="e">
        <f t="shared" si="199"/>
        <v>#DIV/0!</v>
      </c>
      <c r="DG151" s="68">
        <f t="shared" si="160"/>
        <v>0.45480516874807669</v>
      </c>
      <c r="DH151" s="68">
        <f t="shared" si="161"/>
        <v>1.3986079121535113</v>
      </c>
      <c r="DI151" s="68">
        <f t="shared" si="162"/>
        <v>4.7123889803846897</v>
      </c>
      <c r="DJ151" s="68" t="e">
        <f t="shared" si="163"/>
        <v>#DIV/0!</v>
      </c>
      <c r="DK151" s="68" t="e">
        <f t="shared" si="164"/>
        <v>#DIV/0!</v>
      </c>
      <c r="DL151" s="68" t="e">
        <f t="shared" si="165"/>
        <v>#DIV/0!</v>
      </c>
      <c r="DM151" s="68" t="e">
        <f t="shared" si="166"/>
        <v>#DIV/0!</v>
      </c>
      <c r="DN151" s="68" t="e">
        <f t="shared" si="167"/>
        <v>#DIV/0!</v>
      </c>
      <c r="DO151" s="68" t="e">
        <f t="shared" si="168"/>
        <v>#DIV/0!</v>
      </c>
      <c r="DP151" s="68" t="e">
        <f t="shared" si="169"/>
        <v>#DIV/0!</v>
      </c>
      <c r="DQ151" s="68" t="e">
        <f t="shared" si="170"/>
        <v>#DIV/0!</v>
      </c>
      <c r="DR151" s="68" t="e">
        <f t="shared" si="171"/>
        <v>#DIV/0!</v>
      </c>
      <c r="DS151" s="68" t="e">
        <f t="shared" si="172"/>
        <v>#DIV/0!</v>
      </c>
      <c r="DT151" s="68" t="e">
        <f t="shared" si="173"/>
        <v>#DIV/0!</v>
      </c>
      <c r="DU151" s="68" t="e">
        <f t="shared" si="200"/>
        <v>#DIV/0!</v>
      </c>
      <c r="DV151" s="68" t="e">
        <f t="shared" si="174"/>
        <v>#DIV/0!</v>
      </c>
      <c r="DW151" s="68" t="e">
        <f t="shared" si="201"/>
        <v>#DIV/0!</v>
      </c>
      <c r="DX151" s="68">
        <f t="shared" si="175"/>
        <v>26.05841667</v>
      </c>
      <c r="DY151" s="68">
        <f t="shared" si="176"/>
        <v>80.134330559999995</v>
      </c>
      <c r="DZ151" s="68" t="e">
        <f t="shared" si="177"/>
        <v>#DIV/0!</v>
      </c>
      <c r="EA151" s="68" t="e">
        <f t="shared" si="178"/>
        <v>#DIV/0!</v>
      </c>
      <c r="EB151" s="68" t="e">
        <f t="shared" si="179"/>
        <v>#DIV/0!</v>
      </c>
      <c r="EC151" s="68" t="e">
        <f t="shared" si="180"/>
        <v>#DIV/0!</v>
      </c>
      <c r="ED151" s="68" t="e">
        <f t="shared" si="181"/>
        <v>#DIV/0!</v>
      </c>
      <c r="EE151" s="68" t="e">
        <f t="shared" si="182"/>
        <v>#DIV/0!</v>
      </c>
      <c r="EF151" s="68" t="e">
        <f t="shared" si="183"/>
        <v>#DIV/0!</v>
      </c>
      <c r="EG151" s="68" t="e">
        <f t="shared" si="184"/>
        <v>#DIV/0!</v>
      </c>
      <c r="EH151" s="68" t="e">
        <f t="shared" si="202"/>
        <v>#DIV/0!</v>
      </c>
      <c r="EI151" s="68" t="e">
        <f t="shared" si="185"/>
        <v>#DIV/0!</v>
      </c>
      <c r="EJ151" s="68" t="e">
        <f t="shared" si="186"/>
        <v>#DIV/0!</v>
      </c>
      <c r="EK151" s="68" t="e">
        <f t="shared" si="187"/>
        <v>#DIV/0!</v>
      </c>
      <c r="EL151" s="68" t="e">
        <f t="shared" si="188"/>
        <v>#DIV/0!</v>
      </c>
      <c r="EM151" s="68" t="e">
        <f t="shared" si="189"/>
        <v>#DIV/0!</v>
      </c>
      <c r="EN151" s="68" t="e">
        <f t="shared" si="190"/>
        <v>#DIV/0!</v>
      </c>
      <c r="EO151" s="68" t="e">
        <f t="shared" si="191"/>
        <v>#DIV/0!</v>
      </c>
      <c r="EP151" s="68" t="e">
        <f t="shared" si="192"/>
        <v>#DIV/0!</v>
      </c>
      <c r="EQ151" s="68" t="e">
        <f t="shared" si="193"/>
        <v>#DIV/0!</v>
      </c>
      <c r="ER151" s="68" t="e">
        <f t="shared" si="203"/>
        <v>#DIV/0!</v>
      </c>
    </row>
    <row r="152" spans="82:148" x14ac:dyDescent="0.25">
      <c r="CD152" s="68" t="s">
        <v>675</v>
      </c>
      <c r="CE152" s="69">
        <f t="shared" si="196"/>
        <v>260330.3</v>
      </c>
      <c r="CF152" s="69">
        <f t="shared" si="197"/>
        <v>800803.59</v>
      </c>
      <c r="CG152" s="70">
        <f t="shared" si="204"/>
        <v>270</v>
      </c>
      <c r="CH152" s="69">
        <f t="shared" si="194"/>
        <v>260330.30001199999</v>
      </c>
      <c r="CI152" s="69">
        <f t="shared" si="195"/>
        <v>800803.59001599997</v>
      </c>
      <c r="CJ152" s="68">
        <f t="shared" si="139"/>
        <v>26.05841667</v>
      </c>
      <c r="CK152" s="68">
        <f t="shared" si="140"/>
        <v>80.134330559999995</v>
      </c>
      <c r="CL152" s="68">
        <f t="shared" si="141"/>
        <v>26.05841667</v>
      </c>
      <c r="CM152" s="68">
        <f t="shared" si="142"/>
        <v>80.134330559999995</v>
      </c>
      <c r="CN152" s="68">
        <f t="shared" si="143"/>
        <v>0</v>
      </c>
      <c r="CO152" s="68">
        <f t="shared" si="144"/>
        <v>0</v>
      </c>
      <c r="CP152" s="68">
        <f t="shared" si="145"/>
        <v>0.43928729614546391</v>
      </c>
      <c r="CQ152" s="68">
        <f t="shared" si="146"/>
        <v>1.0027157713556663</v>
      </c>
      <c r="CR152" s="68">
        <f t="shared" si="147"/>
        <v>0</v>
      </c>
      <c r="CS152" s="68">
        <f t="shared" si="148"/>
        <v>0.48899531699999998</v>
      </c>
      <c r="CT152" s="68">
        <f t="shared" si="198"/>
        <v>0.23911642</v>
      </c>
      <c r="CU152" s="68">
        <f t="shared" si="149"/>
        <v>0</v>
      </c>
      <c r="CV152" s="68">
        <f t="shared" si="150"/>
        <v>0</v>
      </c>
      <c r="CW152" s="68">
        <f t="shared" si="151"/>
        <v>0</v>
      </c>
      <c r="CX152" s="68">
        <f t="shared" si="152"/>
        <v>0</v>
      </c>
      <c r="CY152" s="68">
        <f t="shared" si="153"/>
        <v>0</v>
      </c>
      <c r="CZ152" s="68" t="e">
        <f t="shared" si="154"/>
        <v>#DIV/0!</v>
      </c>
      <c r="DA152" s="68" t="e">
        <f t="shared" si="155"/>
        <v>#DIV/0!</v>
      </c>
      <c r="DB152" s="68" t="e">
        <f t="shared" si="156"/>
        <v>#DIV/0!</v>
      </c>
      <c r="DC152" s="68" t="e">
        <f t="shared" si="157"/>
        <v>#DIV/0!</v>
      </c>
      <c r="DD152" s="68" t="e">
        <f t="shared" si="158"/>
        <v>#DIV/0!</v>
      </c>
      <c r="DE152" s="68" t="e">
        <f t="shared" si="159"/>
        <v>#DIV/0!</v>
      </c>
      <c r="DF152" s="68" t="e">
        <f t="shared" si="199"/>
        <v>#DIV/0!</v>
      </c>
      <c r="DG152" s="68">
        <f t="shared" si="160"/>
        <v>0.45480516874807669</v>
      </c>
      <c r="DH152" s="68">
        <f t="shared" si="161"/>
        <v>1.3986079121535113</v>
      </c>
      <c r="DI152" s="68">
        <f t="shared" si="162"/>
        <v>4.7123889803846897</v>
      </c>
      <c r="DJ152" s="68" t="e">
        <f t="shared" si="163"/>
        <v>#DIV/0!</v>
      </c>
      <c r="DK152" s="68" t="e">
        <f t="shared" si="164"/>
        <v>#DIV/0!</v>
      </c>
      <c r="DL152" s="68" t="e">
        <f t="shared" si="165"/>
        <v>#DIV/0!</v>
      </c>
      <c r="DM152" s="68" t="e">
        <f t="shared" si="166"/>
        <v>#DIV/0!</v>
      </c>
      <c r="DN152" s="68" t="e">
        <f t="shared" si="167"/>
        <v>#DIV/0!</v>
      </c>
      <c r="DO152" s="68" t="e">
        <f t="shared" si="168"/>
        <v>#DIV/0!</v>
      </c>
      <c r="DP152" s="68" t="e">
        <f t="shared" si="169"/>
        <v>#DIV/0!</v>
      </c>
      <c r="DQ152" s="68" t="e">
        <f t="shared" si="170"/>
        <v>#DIV/0!</v>
      </c>
      <c r="DR152" s="68" t="e">
        <f t="shared" si="171"/>
        <v>#DIV/0!</v>
      </c>
      <c r="DS152" s="68" t="e">
        <f t="shared" si="172"/>
        <v>#DIV/0!</v>
      </c>
      <c r="DT152" s="68" t="e">
        <f t="shared" si="173"/>
        <v>#DIV/0!</v>
      </c>
      <c r="DU152" s="68" t="e">
        <f t="shared" si="200"/>
        <v>#DIV/0!</v>
      </c>
      <c r="DV152" s="68" t="e">
        <f t="shared" si="174"/>
        <v>#DIV/0!</v>
      </c>
      <c r="DW152" s="68" t="e">
        <f t="shared" si="201"/>
        <v>#DIV/0!</v>
      </c>
      <c r="DX152" s="68">
        <f t="shared" si="175"/>
        <v>26.05841667</v>
      </c>
      <c r="DY152" s="68">
        <f t="shared" si="176"/>
        <v>80.134330559999995</v>
      </c>
      <c r="DZ152" s="68" t="e">
        <f t="shared" si="177"/>
        <v>#DIV/0!</v>
      </c>
      <c r="EA152" s="68" t="e">
        <f t="shared" si="178"/>
        <v>#DIV/0!</v>
      </c>
      <c r="EB152" s="68" t="e">
        <f t="shared" si="179"/>
        <v>#DIV/0!</v>
      </c>
      <c r="EC152" s="68" t="e">
        <f t="shared" si="180"/>
        <v>#DIV/0!</v>
      </c>
      <c r="ED152" s="68" t="e">
        <f t="shared" si="181"/>
        <v>#DIV/0!</v>
      </c>
      <c r="EE152" s="68" t="e">
        <f t="shared" si="182"/>
        <v>#DIV/0!</v>
      </c>
      <c r="EF152" s="68" t="e">
        <f t="shared" si="183"/>
        <v>#DIV/0!</v>
      </c>
      <c r="EG152" s="68" t="e">
        <f t="shared" si="184"/>
        <v>#DIV/0!</v>
      </c>
      <c r="EH152" s="68" t="e">
        <f t="shared" si="202"/>
        <v>#DIV/0!</v>
      </c>
      <c r="EI152" s="68" t="e">
        <f t="shared" si="185"/>
        <v>#DIV/0!</v>
      </c>
      <c r="EJ152" s="68" t="e">
        <f t="shared" si="186"/>
        <v>#DIV/0!</v>
      </c>
      <c r="EK152" s="68" t="e">
        <f t="shared" si="187"/>
        <v>#DIV/0!</v>
      </c>
      <c r="EL152" s="68" t="e">
        <f t="shared" si="188"/>
        <v>#DIV/0!</v>
      </c>
      <c r="EM152" s="68" t="e">
        <f t="shared" si="189"/>
        <v>#DIV/0!</v>
      </c>
      <c r="EN152" s="68" t="e">
        <f t="shared" si="190"/>
        <v>#DIV/0!</v>
      </c>
      <c r="EO152" s="68" t="e">
        <f t="shared" si="191"/>
        <v>#DIV/0!</v>
      </c>
      <c r="EP152" s="68" t="e">
        <f t="shared" si="192"/>
        <v>#DIV/0!</v>
      </c>
      <c r="EQ152" s="68" t="e">
        <f t="shared" si="193"/>
        <v>#DIV/0!</v>
      </c>
      <c r="ER152" s="68" t="e">
        <f t="shared" si="203"/>
        <v>#DIV/0!</v>
      </c>
    </row>
    <row r="153" spans="82:148" x14ac:dyDescent="0.25">
      <c r="CD153" s="68" t="s">
        <v>676</v>
      </c>
      <c r="CE153" s="69">
        <f t="shared" si="196"/>
        <v>260330.3</v>
      </c>
      <c r="CF153" s="69">
        <f t="shared" si="197"/>
        <v>800803.59</v>
      </c>
      <c r="CG153" s="70">
        <f t="shared" si="204"/>
        <v>270</v>
      </c>
      <c r="CH153" s="69">
        <f t="shared" si="194"/>
        <v>260330.30001199999</v>
      </c>
      <c r="CI153" s="69">
        <f t="shared" si="195"/>
        <v>800803.59001599997</v>
      </c>
      <c r="CJ153" s="68">
        <f t="shared" si="139"/>
        <v>26.05841667</v>
      </c>
      <c r="CK153" s="68">
        <f t="shared" si="140"/>
        <v>80.134330559999995</v>
      </c>
      <c r="CL153" s="68">
        <f t="shared" si="141"/>
        <v>26.05841667</v>
      </c>
      <c r="CM153" s="68">
        <f t="shared" si="142"/>
        <v>80.134330559999995</v>
      </c>
      <c r="CN153" s="68">
        <f t="shared" si="143"/>
        <v>0</v>
      </c>
      <c r="CO153" s="68">
        <f t="shared" si="144"/>
        <v>0</v>
      </c>
      <c r="CP153" s="68">
        <f t="shared" si="145"/>
        <v>0.43928729614546391</v>
      </c>
      <c r="CQ153" s="68">
        <f t="shared" si="146"/>
        <v>1.0027157713556663</v>
      </c>
      <c r="CR153" s="68">
        <f t="shared" si="147"/>
        <v>0</v>
      </c>
      <c r="CS153" s="68">
        <f t="shared" si="148"/>
        <v>0.48899531699999998</v>
      </c>
      <c r="CT153" s="68">
        <f t="shared" si="198"/>
        <v>0.23911642</v>
      </c>
      <c r="CU153" s="68">
        <f t="shared" si="149"/>
        <v>0</v>
      </c>
      <c r="CV153" s="68">
        <f t="shared" si="150"/>
        <v>0</v>
      </c>
      <c r="CW153" s="68">
        <f t="shared" si="151"/>
        <v>0</v>
      </c>
      <c r="CX153" s="68">
        <f t="shared" si="152"/>
        <v>0</v>
      </c>
      <c r="CY153" s="68">
        <f t="shared" si="153"/>
        <v>0</v>
      </c>
      <c r="CZ153" s="68" t="e">
        <f t="shared" si="154"/>
        <v>#DIV/0!</v>
      </c>
      <c r="DA153" s="68" t="e">
        <f t="shared" si="155"/>
        <v>#DIV/0!</v>
      </c>
      <c r="DB153" s="68" t="e">
        <f t="shared" si="156"/>
        <v>#DIV/0!</v>
      </c>
      <c r="DC153" s="68" t="e">
        <f t="shared" si="157"/>
        <v>#DIV/0!</v>
      </c>
      <c r="DD153" s="68" t="e">
        <f t="shared" si="158"/>
        <v>#DIV/0!</v>
      </c>
      <c r="DE153" s="68" t="e">
        <f t="shared" si="159"/>
        <v>#DIV/0!</v>
      </c>
      <c r="DF153" s="68" t="e">
        <f t="shared" si="199"/>
        <v>#DIV/0!</v>
      </c>
      <c r="DG153" s="68">
        <f t="shared" si="160"/>
        <v>0.45480516874807669</v>
      </c>
      <c r="DH153" s="68">
        <f t="shared" si="161"/>
        <v>1.3986079121535113</v>
      </c>
      <c r="DI153" s="68">
        <f t="shared" si="162"/>
        <v>4.7123889803846897</v>
      </c>
      <c r="DJ153" s="68" t="e">
        <f t="shared" si="163"/>
        <v>#DIV/0!</v>
      </c>
      <c r="DK153" s="68" t="e">
        <f t="shared" si="164"/>
        <v>#DIV/0!</v>
      </c>
      <c r="DL153" s="68" t="e">
        <f t="shared" si="165"/>
        <v>#DIV/0!</v>
      </c>
      <c r="DM153" s="68" t="e">
        <f t="shared" si="166"/>
        <v>#DIV/0!</v>
      </c>
      <c r="DN153" s="68" t="e">
        <f t="shared" si="167"/>
        <v>#DIV/0!</v>
      </c>
      <c r="DO153" s="68" t="e">
        <f t="shared" si="168"/>
        <v>#DIV/0!</v>
      </c>
      <c r="DP153" s="68" t="e">
        <f t="shared" si="169"/>
        <v>#DIV/0!</v>
      </c>
      <c r="DQ153" s="68" t="e">
        <f t="shared" si="170"/>
        <v>#DIV/0!</v>
      </c>
      <c r="DR153" s="68" t="e">
        <f t="shared" si="171"/>
        <v>#DIV/0!</v>
      </c>
      <c r="DS153" s="68" t="e">
        <f t="shared" si="172"/>
        <v>#DIV/0!</v>
      </c>
      <c r="DT153" s="68" t="e">
        <f t="shared" si="173"/>
        <v>#DIV/0!</v>
      </c>
      <c r="DU153" s="68" t="e">
        <f t="shared" si="200"/>
        <v>#DIV/0!</v>
      </c>
      <c r="DV153" s="68" t="e">
        <f t="shared" si="174"/>
        <v>#DIV/0!</v>
      </c>
      <c r="DW153" s="68" t="e">
        <f t="shared" si="201"/>
        <v>#DIV/0!</v>
      </c>
      <c r="DX153" s="68">
        <f t="shared" si="175"/>
        <v>26.05841667</v>
      </c>
      <c r="DY153" s="68">
        <f t="shared" si="176"/>
        <v>80.134330559999995</v>
      </c>
      <c r="DZ153" s="68" t="e">
        <f t="shared" si="177"/>
        <v>#DIV/0!</v>
      </c>
      <c r="EA153" s="68" t="e">
        <f t="shared" si="178"/>
        <v>#DIV/0!</v>
      </c>
      <c r="EB153" s="68" t="e">
        <f t="shared" si="179"/>
        <v>#DIV/0!</v>
      </c>
      <c r="EC153" s="68" t="e">
        <f t="shared" si="180"/>
        <v>#DIV/0!</v>
      </c>
      <c r="ED153" s="68" t="e">
        <f t="shared" si="181"/>
        <v>#DIV/0!</v>
      </c>
      <c r="EE153" s="68" t="e">
        <f t="shared" si="182"/>
        <v>#DIV/0!</v>
      </c>
      <c r="EF153" s="68" t="e">
        <f t="shared" si="183"/>
        <v>#DIV/0!</v>
      </c>
      <c r="EG153" s="68" t="e">
        <f t="shared" si="184"/>
        <v>#DIV/0!</v>
      </c>
      <c r="EH153" s="68" t="e">
        <f t="shared" si="202"/>
        <v>#DIV/0!</v>
      </c>
      <c r="EI153" s="68" t="e">
        <f t="shared" si="185"/>
        <v>#DIV/0!</v>
      </c>
      <c r="EJ153" s="68" t="e">
        <f t="shared" si="186"/>
        <v>#DIV/0!</v>
      </c>
      <c r="EK153" s="68" t="e">
        <f t="shared" si="187"/>
        <v>#DIV/0!</v>
      </c>
      <c r="EL153" s="68" t="e">
        <f t="shared" si="188"/>
        <v>#DIV/0!</v>
      </c>
      <c r="EM153" s="68" t="e">
        <f t="shared" si="189"/>
        <v>#DIV/0!</v>
      </c>
      <c r="EN153" s="68" t="e">
        <f t="shared" si="190"/>
        <v>#DIV/0!</v>
      </c>
      <c r="EO153" s="68" t="e">
        <f t="shared" si="191"/>
        <v>#DIV/0!</v>
      </c>
      <c r="EP153" s="68" t="e">
        <f t="shared" si="192"/>
        <v>#DIV/0!</v>
      </c>
      <c r="EQ153" s="68" t="e">
        <f t="shared" si="193"/>
        <v>#DIV/0!</v>
      </c>
      <c r="ER153" s="68" t="e">
        <f t="shared" si="203"/>
        <v>#DIV/0!</v>
      </c>
    </row>
    <row r="154" spans="82:148" x14ac:dyDescent="0.25">
      <c r="CD154" s="68" t="s">
        <v>677</v>
      </c>
      <c r="CE154" s="69">
        <f t="shared" si="196"/>
        <v>260330.3</v>
      </c>
      <c r="CF154" s="69">
        <f t="shared" si="197"/>
        <v>800803.59</v>
      </c>
      <c r="CG154" s="70">
        <f t="shared" si="204"/>
        <v>270</v>
      </c>
      <c r="CH154" s="69">
        <f t="shared" si="194"/>
        <v>260330.30001199999</v>
      </c>
      <c r="CI154" s="69">
        <f t="shared" si="195"/>
        <v>800803.59001599997</v>
      </c>
      <c r="CJ154" s="68">
        <f t="shared" si="139"/>
        <v>26.05841667</v>
      </c>
      <c r="CK154" s="68">
        <f t="shared" si="140"/>
        <v>80.134330559999995</v>
      </c>
      <c r="CL154" s="68">
        <f t="shared" si="141"/>
        <v>26.05841667</v>
      </c>
      <c r="CM154" s="68">
        <f t="shared" si="142"/>
        <v>80.134330559999995</v>
      </c>
      <c r="CN154" s="68">
        <f t="shared" si="143"/>
        <v>0</v>
      </c>
      <c r="CO154" s="68">
        <f t="shared" si="144"/>
        <v>0</v>
      </c>
      <c r="CP154" s="68">
        <f t="shared" si="145"/>
        <v>0.43928729614546391</v>
      </c>
      <c r="CQ154" s="68">
        <f t="shared" si="146"/>
        <v>1.0027157713556663</v>
      </c>
      <c r="CR154" s="68">
        <f t="shared" si="147"/>
        <v>0</v>
      </c>
      <c r="CS154" s="68">
        <f t="shared" si="148"/>
        <v>0.48899531699999998</v>
      </c>
      <c r="CT154" s="68">
        <f t="shared" si="198"/>
        <v>0.23911642</v>
      </c>
      <c r="CU154" s="68">
        <f t="shared" si="149"/>
        <v>0</v>
      </c>
      <c r="CV154" s="68">
        <f t="shared" si="150"/>
        <v>0</v>
      </c>
      <c r="CW154" s="68">
        <f t="shared" si="151"/>
        <v>0</v>
      </c>
      <c r="CX154" s="68">
        <f t="shared" si="152"/>
        <v>0</v>
      </c>
      <c r="CY154" s="68">
        <f t="shared" si="153"/>
        <v>0</v>
      </c>
      <c r="CZ154" s="68" t="e">
        <f t="shared" si="154"/>
        <v>#DIV/0!</v>
      </c>
      <c r="DA154" s="68" t="e">
        <f t="shared" si="155"/>
        <v>#DIV/0!</v>
      </c>
      <c r="DB154" s="68" t="e">
        <f t="shared" si="156"/>
        <v>#DIV/0!</v>
      </c>
      <c r="DC154" s="68" t="e">
        <f t="shared" si="157"/>
        <v>#DIV/0!</v>
      </c>
      <c r="DD154" s="68" t="e">
        <f t="shared" si="158"/>
        <v>#DIV/0!</v>
      </c>
      <c r="DE154" s="68" t="e">
        <f t="shared" si="159"/>
        <v>#DIV/0!</v>
      </c>
      <c r="DF154" s="68" t="e">
        <f t="shared" si="199"/>
        <v>#DIV/0!</v>
      </c>
      <c r="DG154" s="68">
        <f t="shared" si="160"/>
        <v>0.45480516874807669</v>
      </c>
      <c r="DH154" s="68">
        <f t="shared" si="161"/>
        <v>1.3986079121535113</v>
      </c>
      <c r="DI154" s="68">
        <f t="shared" si="162"/>
        <v>4.7123889803846897</v>
      </c>
      <c r="DJ154" s="68" t="e">
        <f t="shared" si="163"/>
        <v>#DIV/0!</v>
      </c>
      <c r="DK154" s="68" t="e">
        <f t="shared" si="164"/>
        <v>#DIV/0!</v>
      </c>
      <c r="DL154" s="68" t="e">
        <f t="shared" si="165"/>
        <v>#DIV/0!</v>
      </c>
      <c r="DM154" s="68" t="e">
        <f t="shared" si="166"/>
        <v>#DIV/0!</v>
      </c>
      <c r="DN154" s="68" t="e">
        <f t="shared" si="167"/>
        <v>#DIV/0!</v>
      </c>
      <c r="DO154" s="68" t="e">
        <f t="shared" si="168"/>
        <v>#DIV/0!</v>
      </c>
      <c r="DP154" s="68" t="e">
        <f t="shared" si="169"/>
        <v>#DIV/0!</v>
      </c>
      <c r="DQ154" s="68" t="e">
        <f t="shared" si="170"/>
        <v>#DIV/0!</v>
      </c>
      <c r="DR154" s="68" t="e">
        <f t="shared" si="171"/>
        <v>#DIV/0!</v>
      </c>
      <c r="DS154" s="68" t="e">
        <f t="shared" si="172"/>
        <v>#DIV/0!</v>
      </c>
      <c r="DT154" s="68" t="e">
        <f t="shared" si="173"/>
        <v>#DIV/0!</v>
      </c>
      <c r="DU154" s="68" t="e">
        <f t="shared" si="200"/>
        <v>#DIV/0!</v>
      </c>
      <c r="DV154" s="68" t="e">
        <f t="shared" si="174"/>
        <v>#DIV/0!</v>
      </c>
      <c r="DW154" s="68" t="e">
        <f t="shared" si="201"/>
        <v>#DIV/0!</v>
      </c>
      <c r="DX154" s="68">
        <f t="shared" si="175"/>
        <v>26.05841667</v>
      </c>
      <c r="DY154" s="68">
        <f t="shared" si="176"/>
        <v>80.134330559999995</v>
      </c>
      <c r="DZ154" s="68" t="e">
        <f t="shared" si="177"/>
        <v>#DIV/0!</v>
      </c>
      <c r="EA154" s="68" t="e">
        <f t="shared" si="178"/>
        <v>#DIV/0!</v>
      </c>
      <c r="EB154" s="68" t="e">
        <f t="shared" si="179"/>
        <v>#DIV/0!</v>
      </c>
      <c r="EC154" s="68" t="e">
        <f t="shared" si="180"/>
        <v>#DIV/0!</v>
      </c>
      <c r="ED154" s="68" t="e">
        <f t="shared" si="181"/>
        <v>#DIV/0!</v>
      </c>
      <c r="EE154" s="68" t="e">
        <f t="shared" si="182"/>
        <v>#DIV/0!</v>
      </c>
      <c r="EF154" s="68" t="e">
        <f t="shared" si="183"/>
        <v>#DIV/0!</v>
      </c>
      <c r="EG154" s="68" t="e">
        <f t="shared" si="184"/>
        <v>#DIV/0!</v>
      </c>
      <c r="EH154" s="68" t="e">
        <f t="shared" si="202"/>
        <v>#DIV/0!</v>
      </c>
      <c r="EI154" s="68" t="e">
        <f t="shared" si="185"/>
        <v>#DIV/0!</v>
      </c>
      <c r="EJ154" s="68" t="e">
        <f t="shared" si="186"/>
        <v>#DIV/0!</v>
      </c>
      <c r="EK154" s="68" t="e">
        <f t="shared" si="187"/>
        <v>#DIV/0!</v>
      </c>
      <c r="EL154" s="68" t="e">
        <f t="shared" si="188"/>
        <v>#DIV/0!</v>
      </c>
      <c r="EM154" s="68" t="e">
        <f t="shared" si="189"/>
        <v>#DIV/0!</v>
      </c>
      <c r="EN154" s="68" t="e">
        <f t="shared" si="190"/>
        <v>#DIV/0!</v>
      </c>
      <c r="EO154" s="68" t="e">
        <f t="shared" si="191"/>
        <v>#DIV/0!</v>
      </c>
      <c r="EP154" s="68" t="e">
        <f t="shared" si="192"/>
        <v>#DIV/0!</v>
      </c>
      <c r="EQ154" s="68" t="e">
        <f t="shared" si="193"/>
        <v>#DIV/0!</v>
      </c>
      <c r="ER154" s="68" t="e">
        <f t="shared" si="203"/>
        <v>#DIV/0!</v>
      </c>
    </row>
    <row r="155" spans="82:148" x14ac:dyDescent="0.25">
      <c r="CD155" s="68" t="s">
        <v>678</v>
      </c>
      <c r="CE155" s="69">
        <f t="shared" si="196"/>
        <v>260330.3</v>
      </c>
      <c r="CF155" s="69">
        <f t="shared" si="197"/>
        <v>800803.59</v>
      </c>
      <c r="CG155" s="70">
        <f t="shared" si="204"/>
        <v>270</v>
      </c>
      <c r="CH155" s="69">
        <f t="shared" si="194"/>
        <v>260330.30001199999</v>
      </c>
      <c r="CI155" s="69">
        <f t="shared" si="195"/>
        <v>800803.59001599997</v>
      </c>
      <c r="CJ155" s="68">
        <f t="shared" si="139"/>
        <v>26.05841667</v>
      </c>
      <c r="CK155" s="68">
        <f t="shared" si="140"/>
        <v>80.134330559999995</v>
      </c>
      <c r="CL155" s="68">
        <f t="shared" si="141"/>
        <v>26.05841667</v>
      </c>
      <c r="CM155" s="68">
        <f t="shared" si="142"/>
        <v>80.134330559999995</v>
      </c>
      <c r="CN155" s="68">
        <f t="shared" si="143"/>
        <v>0</v>
      </c>
      <c r="CO155" s="68">
        <f t="shared" si="144"/>
        <v>0</v>
      </c>
      <c r="CP155" s="68">
        <f t="shared" si="145"/>
        <v>0.43928729614546391</v>
      </c>
      <c r="CQ155" s="68">
        <f t="shared" si="146"/>
        <v>1.0027157713556663</v>
      </c>
      <c r="CR155" s="68">
        <f t="shared" si="147"/>
        <v>0</v>
      </c>
      <c r="CS155" s="68">
        <f t="shared" si="148"/>
        <v>0.48899531699999998</v>
      </c>
      <c r="CT155" s="68">
        <f t="shared" si="198"/>
        <v>0.23911642</v>
      </c>
      <c r="CU155" s="68">
        <f t="shared" si="149"/>
        <v>0</v>
      </c>
      <c r="CV155" s="68">
        <f t="shared" si="150"/>
        <v>0</v>
      </c>
      <c r="CW155" s="68">
        <f t="shared" si="151"/>
        <v>0</v>
      </c>
      <c r="CX155" s="68">
        <f t="shared" si="152"/>
        <v>0</v>
      </c>
      <c r="CY155" s="68">
        <f t="shared" si="153"/>
        <v>0</v>
      </c>
      <c r="CZ155" s="68" t="e">
        <f t="shared" si="154"/>
        <v>#DIV/0!</v>
      </c>
      <c r="DA155" s="68" t="e">
        <f t="shared" si="155"/>
        <v>#DIV/0!</v>
      </c>
      <c r="DB155" s="68" t="e">
        <f t="shared" si="156"/>
        <v>#DIV/0!</v>
      </c>
      <c r="DC155" s="68" t="e">
        <f t="shared" si="157"/>
        <v>#DIV/0!</v>
      </c>
      <c r="DD155" s="68" t="e">
        <f t="shared" si="158"/>
        <v>#DIV/0!</v>
      </c>
      <c r="DE155" s="68" t="e">
        <f t="shared" si="159"/>
        <v>#DIV/0!</v>
      </c>
      <c r="DF155" s="68" t="e">
        <f t="shared" si="199"/>
        <v>#DIV/0!</v>
      </c>
      <c r="DG155" s="68">
        <f t="shared" si="160"/>
        <v>0.45480516874807669</v>
      </c>
      <c r="DH155" s="68">
        <f t="shared" si="161"/>
        <v>1.3986079121535113</v>
      </c>
      <c r="DI155" s="68">
        <f t="shared" si="162"/>
        <v>4.7123889803846897</v>
      </c>
      <c r="DJ155" s="68" t="e">
        <f t="shared" si="163"/>
        <v>#DIV/0!</v>
      </c>
      <c r="DK155" s="68" t="e">
        <f t="shared" si="164"/>
        <v>#DIV/0!</v>
      </c>
      <c r="DL155" s="68" t="e">
        <f t="shared" si="165"/>
        <v>#DIV/0!</v>
      </c>
      <c r="DM155" s="68" t="e">
        <f t="shared" si="166"/>
        <v>#DIV/0!</v>
      </c>
      <c r="DN155" s="68" t="e">
        <f t="shared" si="167"/>
        <v>#DIV/0!</v>
      </c>
      <c r="DO155" s="68" t="e">
        <f t="shared" si="168"/>
        <v>#DIV/0!</v>
      </c>
      <c r="DP155" s="68" t="e">
        <f t="shared" si="169"/>
        <v>#DIV/0!</v>
      </c>
      <c r="DQ155" s="68" t="e">
        <f t="shared" si="170"/>
        <v>#DIV/0!</v>
      </c>
      <c r="DR155" s="68" t="e">
        <f t="shared" si="171"/>
        <v>#DIV/0!</v>
      </c>
      <c r="DS155" s="68" t="e">
        <f t="shared" si="172"/>
        <v>#DIV/0!</v>
      </c>
      <c r="DT155" s="68" t="e">
        <f t="shared" si="173"/>
        <v>#DIV/0!</v>
      </c>
      <c r="DU155" s="68" t="e">
        <f t="shared" si="200"/>
        <v>#DIV/0!</v>
      </c>
      <c r="DV155" s="68" t="e">
        <f t="shared" si="174"/>
        <v>#DIV/0!</v>
      </c>
      <c r="DW155" s="68" t="e">
        <f t="shared" si="201"/>
        <v>#DIV/0!</v>
      </c>
      <c r="DX155" s="68">
        <f t="shared" si="175"/>
        <v>26.05841667</v>
      </c>
      <c r="DY155" s="68">
        <f t="shared" si="176"/>
        <v>80.134330559999995</v>
      </c>
      <c r="DZ155" s="68" t="e">
        <f t="shared" si="177"/>
        <v>#DIV/0!</v>
      </c>
      <c r="EA155" s="68" t="e">
        <f t="shared" si="178"/>
        <v>#DIV/0!</v>
      </c>
      <c r="EB155" s="68" t="e">
        <f t="shared" si="179"/>
        <v>#DIV/0!</v>
      </c>
      <c r="EC155" s="68" t="e">
        <f t="shared" si="180"/>
        <v>#DIV/0!</v>
      </c>
      <c r="ED155" s="68" t="e">
        <f t="shared" si="181"/>
        <v>#DIV/0!</v>
      </c>
      <c r="EE155" s="68" t="e">
        <f t="shared" si="182"/>
        <v>#DIV/0!</v>
      </c>
      <c r="EF155" s="68" t="e">
        <f t="shared" si="183"/>
        <v>#DIV/0!</v>
      </c>
      <c r="EG155" s="68" t="e">
        <f t="shared" si="184"/>
        <v>#DIV/0!</v>
      </c>
      <c r="EH155" s="68" t="e">
        <f t="shared" si="202"/>
        <v>#DIV/0!</v>
      </c>
      <c r="EI155" s="68" t="e">
        <f t="shared" si="185"/>
        <v>#DIV/0!</v>
      </c>
      <c r="EJ155" s="68" t="e">
        <f t="shared" si="186"/>
        <v>#DIV/0!</v>
      </c>
      <c r="EK155" s="68" t="e">
        <f t="shared" si="187"/>
        <v>#DIV/0!</v>
      </c>
      <c r="EL155" s="68" t="e">
        <f t="shared" si="188"/>
        <v>#DIV/0!</v>
      </c>
      <c r="EM155" s="68" t="e">
        <f t="shared" si="189"/>
        <v>#DIV/0!</v>
      </c>
      <c r="EN155" s="68" t="e">
        <f t="shared" si="190"/>
        <v>#DIV/0!</v>
      </c>
      <c r="EO155" s="68" t="e">
        <f t="shared" si="191"/>
        <v>#DIV/0!</v>
      </c>
      <c r="EP155" s="68" t="e">
        <f t="shared" si="192"/>
        <v>#DIV/0!</v>
      </c>
      <c r="EQ155" s="68" t="e">
        <f t="shared" si="193"/>
        <v>#DIV/0!</v>
      </c>
      <c r="ER155" s="68" t="e">
        <f t="shared" si="203"/>
        <v>#DIV/0!</v>
      </c>
    </row>
    <row r="156" spans="82:148" x14ac:dyDescent="0.25">
      <c r="CD156" s="68" t="s">
        <v>679</v>
      </c>
      <c r="CE156" s="69">
        <f t="shared" si="196"/>
        <v>260330.3</v>
      </c>
      <c r="CF156" s="69">
        <f t="shared" si="197"/>
        <v>800803.59</v>
      </c>
      <c r="CG156" s="70">
        <f t="shared" si="204"/>
        <v>270</v>
      </c>
      <c r="CH156" s="69">
        <f t="shared" si="194"/>
        <v>260330.30001199999</v>
      </c>
      <c r="CI156" s="69">
        <f t="shared" si="195"/>
        <v>800803.59001599997</v>
      </c>
      <c r="CJ156" s="68">
        <f t="shared" si="139"/>
        <v>26.05841667</v>
      </c>
      <c r="CK156" s="68">
        <f t="shared" si="140"/>
        <v>80.134330559999995</v>
      </c>
      <c r="CL156" s="68">
        <f t="shared" si="141"/>
        <v>26.05841667</v>
      </c>
      <c r="CM156" s="68">
        <f t="shared" si="142"/>
        <v>80.134330559999995</v>
      </c>
      <c r="CN156" s="68">
        <f t="shared" si="143"/>
        <v>0</v>
      </c>
      <c r="CO156" s="68">
        <f t="shared" si="144"/>
        <v>0</v>
      </c>
      <c r="CP156" s="68">
        <f t="shared" si="145"/>
        <v>0.43928729614546391</v>
      </c>
      <c r="CQ156" s="68">
        <f t="shared" si="146"/>
        <v>1.0027157713556663</v>
      </c>
      <c r="CR156" s="68">
        <f t="shared" si="147"/>
        <v>0</v>
      </c>
      <c r="CS156" s="68">
        <f t="shared" si="148"/>
        <v>0.48899531699999998</v>
      </c>
      <c r="CT156" s="68">
        <f t="shared" si="198"/>
        <v>0.23911642</v>
      </c>
      <c r="CU156" s="68">
        <f t="shared" si="149"/>
        <v>0</v>
      </c>
      <c r="CV156" s="68">
        <f t="shared" si="150"/>
        <v>0</v>
      </c>
      <c r="CW156" s="68">
        <f t="shared" si="151"/>
        <v>0</v>
      </c>
      <c r="CX156" s="68">
        <f t="shared" si="152"/>
        <v>0</v>
      </c>
      <c r="CY156" s="68">
        <f t="shared" si="153"/>
        <v>0</v>
      </c>
      <c r="CZ156" s="68" t="e">
        <f t="shared" si="154"/>
        <v>#DIV/0!</v>
      </c>
      <c r="DA156" s="68" t="e">
        <f t="shared" si="155"/>
        <v>#DIV/0!</v>
      </c>
      <c r="DB156" s="68" t="e">
        <f t="shared" si="156"/>
        <v>#DIV/0!</v>
      </c>
      <c r="DC156" s="68" t="e">
        <f t="shared" si="157"/>
        <v>#DIV/0!</v>
      </c>
      <c r="DD156" s="68" t="e">
        <f t="shared" si="158"/>
        <v>#DIV/0!</v>
      </c>
      <c r="DE156" s="68" t="e">
        <f t="shared" si="159"/>
        <v>#DIV/0!</v>
      </c>
      <c r="DF156" s="68" t="e">
        <f t="shared" si="199"/>
        <v>#DIV/0!</v>
      </c>
      <c r="DG156" s="68">
        <f t="shared" si="160"/>
        <v>0.45480516874807669</v>
      </c>
      <c r="DH156" s="68">
        <f t="shared" si="161"/>
        <v>1.3986079121535113</v>
      </c>
      <c r="DI156" s="68">
        <f t="shared" si="162"/>
        <v>4.7123889803846897</v>
      </c>
      <c r="DJ156" s="68" t="e">
        <f t="shared" si="163"/>
        <v>#DIV/0!</v>
      </c>
      <c r="DK156" s="68" t="e">
        <f t="shared" si="164"/>
        <v>#DIV/0!</v>
      </c>
      <c r="DL156" s="68" t="e">
        <f t="shared" si="165"/>
        <v>#DIV/0!</v>
      </c>
      <c r="DM156" s="68" t="e">
        <f t="shared" si="166"/>
        <v>#DIV/0!</v>
      </c>
      <c r="DN156" s="68" t="e">
        <f t="shared" si="167"/>
        <v>#DIV/0!</v>
      </c>
      <c r="DO156" s="68" t="e">
        <f t="shared" si="168"/>
        <v>#DIV/0!</v>
      </c>
      <c r="DP156" s="68" t="e">
        <f t="shared" si="169"/>
        <v>#DIV/0!</v>
      </c>
      <c r="DQ156" s="68" t="e">
        <f t="shared" si="170"/>
        <v>#DIV/0!</v>
      </c>
      <c r="DR156" s="68" t="e">
        <f t="shared" si="171"/>
        <v>#DIV/0!</v>
      </c>
      <c r="DS156" s="68" t="e">
        <f t="shared" si="172"/>
        <v>#DIV/0!</v>
      </c>
      <c r="DT156" s="68" t="e">
        <f t="shared" si="173"/>
        <v>#DIV/0!</v>
      </c>
      <c r="DU156" s="68" t="e">
        <f t="shared" si="200"/>
        <v>#DIV/0!</v>
      </c>
      <c r="DV156" s="68" t="e">
        <f t="shared" si="174"/>
        <v>#DIV/0!</v>
      </c>
      <c r="DW156" s="68" t="e">
        <f t="shared" si="201"/>
        <v>#DIV/0!</v>
      </c>
      <c r="DX156" s="68">
        <f t="shared" si="175"/>
        <v>26.05841667</v>
      </c>
      <c r="DY156" s="68">
        <f t="shared" si="176"/>
        <v>80.134330559999995</v>
      </c>
      <c r="DZ156" s="68" t="e">
        <f t="shared" si="177"/>
        <v>#DIV/0!</v>
      </c>
      <c r="EA156" s="68" t="e">
        <f t="shared" si="178"/>
        <v>#DIV/0!</v>
      </c>
      <c r="EB156" s="68" t="e">
        <f t="shared" si="179"/>
        <v>#DIV/0!</v>
      </c>
      <c r="EC156" s="68" t="e">
        <f t="shared" si="180"/>
        <v>#DIV/0!</v>
      </c>
      <c r="ED156" s="68" t="e">
        <f t="shared" si="181"/>
        <v>#DIV/0!</v>
      </c>
      <c r="EE156" s="68" t="e">
        <f t="shared" si="182"/>
        <v>#DIV/0!</v>
      </c>
      <c r="EF156" s="68" t="e">
        <f t="shared" si="183"/>
        <v>#DIV/0!</v>
      </c>
      <c r="EG156" s="68" t="e">
        <f t="shared" si="184"/>
        <v>#DIV/0!</v>
      </c>
      <c r="EH156" s="68" t="e">
        <f t="shared" si="202"/>
        <v>#DIV/0!</v>
      </c>
      <c r="EI156" s="68" t="e">
        <f t="shared" si="185"/>
        <v>#DIV/0!</v>
      </c>
      <c r="EJ156" s="68" t="e">
        <f t="shared" si="186"/>
        <v>#DIV/0!</v>
      </c>
      <c r="EK156" s="68" t="e">
        <f t="shared" si="187"/>
        <v>#DIV/0!</v>
      </c>
      <c r="EL156" s="68" t="e">
        <f t="shared" si="188"/>
        <v>#DIV/0!</v>
      </c>
      <c r="EM156" s="68" t="e">
        <f t="shared" si="189"/>
        <v>#DIV/0!</v>
      </c>
      <c r="EN156" s="68" t="e">
        <f t="shared" si="190"/>
        <v>#DIV/0!</v>
      </c>
      <c r="EO156" s="68" t="e">
        <f t="shared" si="191"/>
        <v>#DIV/0!</v>
      </c>
      <c r="EP156" s="68" t="e">
        <f t="shared" si="192"/>
        <v>#DIV/0!</v>
      </c>
      <c r="EQ156" s="68" t="e">
        <f t="shared" si="193"/>
        <v>#DIV/0!</v>
      </c>
      <c r="ER156" s="68" t="e">
        <f t="shared" si="203"/>
        <v>#DIV/0!</v>
      </c>
    </row>
    <row r="157" spans="82:148" x14ac:dyDescent="0.25">
      <c r="CD157" s="68" t="s">
        <v>680</v>
      </c>
      <c r="CE157" s="69">
        <f t="shared" si="196"/>
        <v>260330.3</v>
      </c>
      <c r="CF157" s="69">
        <f t="shared" si="197"/>
        <v>800803.59</v>
      </c>
      <c r="CG157" s="70">
        <f t="shared" ref="CG157:CG188" si="205">$F$4</f>
        <v>0</v>
      </c>
      <c r="CH157" s="69">
        <f>IF(AND(G11="",H11="",I11=""),(CX4),G11)</f>
        <v>260328.83679630503</v>
      </c>
      <c r="CI157" s="69">
        <f>IF(AND(G11="",H11="",I11=""),(CY4),H11)</f>
        <v>800804.60228546301</v>
      </c>
      <c r="CJ157" s="68">
        <f t="shared" si="139"/>
        <v>26.05841667</v>
      </c>
      <c r="CK157" s="68">
        <f t="shared" si="140"/>
        <v>80.134330559999995</v>
      </c>
      <c r="CL157" s="68">
        <f t="shared" si="141"/>
        <v>26.05801022</v>
      </c>
      <c r="CM157" s="68">
        <f t="shared" si="142"/>
        <v>80.134611750000005</v>
      </c>
      <c r="CN157" s="68">
        <f t="shared" si="143"/>
        <v>4.0644999999983611E-4</v>
      </c>
      <c r="CO157" s="68">
        <f t="shared" si="144"/>
        <v>-2.8119000000970118E-4</v>
      </c>
      <c r="CP157" s="68">
        <f t="shared" si="145"/>
        <v>0.43928410975627102</v>
      </c>
      <c r="CQ157" s="68">
        <f t="shared" si="146"/>
        <v>1.0027157807635658</v>
      </c>
      <c r="CR157" s="68">
        <f t="shared" si="147"/>
        <v>-2.5260652762357726E-4</v>
      </c>
      <c r="CS157" s="68">
        <f t="shared" si="148"/>
        <v>0.48899092199999999</v>
      </c>
      <c r="CT157" s="68">
        <f t="shared" si="198"/>
        <v>0.23911212200000001</v>
      </c>
      <c r="CU157" s="68">
        <f t="shared" si="149"/>
        <v>6.4000000000000004E-8</v>
      </c>
      <c r="CV157" s="68">
        <f t="shared" si="150"/>
        <v>-4.0315641818963039E-4</v>
      </c>
      <c r="CW157" s="68">
        <f t="shared" si="151"/>
        <v>-2.519223617201861E-4</v>
      </c>
      <c r="CX157" s="68">
        <f t="shared" si="152"/>
        <v>-6.1760999999999994E-5</v>
      </c>
      <c r="CY157" s="68">
        <f t="shared" si="153"/>
        <v>53.098653218240308</v>
      </c>
      <c r="CZ157" s="68">
        <f t="shared" si="154"/>
        <v>-147.99976778454464</v>
      </c>
      <c r="DA157" s="68">
        <f t="shared" si="155"/>
        <v>212.00029397599999</v>
      </c>
      <c r="DB157" s="68">
        <f t="shared" si="156"/>
        <v>32.000170453999999</v>
      </c>
      <c r="DC157" s="68">
        <f t="shared" si="157"/>
        <v>572.00029397599997</v>
      </c>
      <c r="DD157" s="68">
        <f t="shared" si="158"/>
        <v>-0.84804537720947215</v>
      </c>
      <c r="DE157" s="68">
        <f t="shared" si="159"/>
        <v>-2.43143E-2</v>
      </c>
      <c r="DF157" s="68">
        <f t="shared" si="199"/>
        <v>-147.73599999999999</v>
      </c>
      <c r="DG157" s="68">
        <f t="shared" si="160"/>
        <v>0.45480516874807669</v>
      </c>
      <c r="DH157" s="68">
        <f t="shared" si="161"/>
        <v>1.3986079121535113</v>
      </c>
      <c r="DI157" s="68">
        <f t="shared" si="162"/>
        <v>0</v>
      </c>
      <c r="DJ157" s="68">
        <f t="shared" si="163"/>
        <v>212.00029397599999</v>
      </c>
      <c r="DK157" s="68">
        <f t="shared" si="164"/>
        <v>-7.0363920961040294E-6</v>
      </c>
      <c r="DL157" s="68">
        <f t="shared" si="165"/>
        <v>1.0054389368393648</v>
      </c>
      <c r="DM157" s="68">
        <f t="shared" si="166"/>
        <v>0</v>
      </c>
      <c r="DN157" s="68">
        <f t="shared" si="167"/>
        <v>0.45480165055202865</v>
      </c>
      <c r="DO157" s="68">
        <f t="shared" si="168"/>
        <v>0</v>
      </c>
      <c r="DP157" s="68">
        <f t="shared" si="169"/>
        <v>-7.0938758203182742E-6</v>
      </c>
      <c r="DQ157" s="68">
        <f t="shared" si="170"/>
        <v>0.45479807487225637</v>
      </c>
      <c r="DR157" s="68">
        <f t="shared" si="171"/>
        <v>0</v>
      </c>
      <c r="DS157" s="68">
        <f t="shared" si="172"/>
        <v>1.3986079119999999</v>
      </c>
      <c r="DT157" s="68">
        <f t="shared" si="173"/>
        <v>26.058010220855106</v>
      </c>
      <c r="DU157" s="68">
        <f t="shared" si="200"/>
        <v>260328.84</v>
      </c>
      <c r="DV157" s="68">
        <f t="shared" si="174"/>
        <v>80.134330550000001</v>
      </c>
      <c r="DW157" s="68">
        <f t="shared" si="201"/>
        <v>800803.59</v>
      </c>
      <c r="DX157" s="68">
        <f t="shared" si="175"/>
        <v>26.05801022</v>
      </c>
      <c r="DY157" s="68">
        <f t="shared" si="176"/>
        <v>80.134611750000005</v>
      </c>
      <c r="DZ157" s="68">
        <f t="shared" si="177"/>
        <v>26.058010220855106</v>
      </c>
      <c r="EA157" s="68">
        <f t="shared" si="178"/>
        <v>80.134330550000001</v>
      </c>
      <c r="EB157" s="68">
        <f t="shared" si="179"/>
        <v>-1.0000000000000001E-9</v>
      </c>
      <c r="EC157" s="68">
        <f t="shared" si="180"/>
        <v>2.8120000000342316E-4</v>
      </c>
      <c r="ED157" s="68">
        <f t="shared" si="181"/>
        <v>0.43928092336711938</v>
      </c>
      <c r="EE157" s="68">
        <f t="shared" si="182"/>
        <v>1.0027157901713972</v>
      </c>
      <c r="EF157" s="68">
        <f t="shared" si="183"/>
        <v>0.89834974835290682</v>
      </c>
      <c r="EG157" s="68">
        <f t="shared" si="184"/>
        <v>0.48898652687611449</v>
      </c>
      <c r="EH157" s="68">
        <f t="shared" si="202"/>
        <v>0.23910782346636503</v>
      </c>
      <c r="EI157" s="68">
        <f t="shared" si="185"/>
        <v>6.3814817810382087E-8</v>
      </c>
      <c r="EJ157" s="68">
        <f t="shared" si="186"/>
        <v>9.9189668309049251E-10</v>
      </c>
      <c r="EK157" s="68">
        <f t="shared" si="187"/>
        <v>2.5193175545453736E-4</v>
      </c>
      <c r="EL157" s="68">
        <f t="shared" si="188"/>
        <v>6.1762897826268893E-5</v>
      </c>
      <c r="EM157" s="68">
        <f t="shared" si="189"/>
        <v>28.139204574934411</v>
      </c>
      <c r="EN157" s="68">
        <f t="shared" si="190"/>
        <v>89.999774417109307</v>
      </c>
      <c r="EO157" s="68">
        <f t="shared" si="191"/>
        <v>89.999712654211478</v>
      </c>
      <c r="EP157" s="68">
        <f t="shared" si="192"/>
        <v>269.99983618000709</v>
      </c>
      <c r="EQ157" s="68">
        <f t="shared" si="193"/>
        <v>1.5193999999999999E-2</v>
      </c>
      <c r="ER157" s="68">
        <f t="shared" si="203"/>
        <v>92.32</v>
      </c>
    </row>
    <row r="158" spans="82:148" x14ac:dyDescent="0.25">
      <c r="CD158" s="68" t="s">
        <v>681</v>
      </c>
      <c r="CE158" s="69">
        <f t="shared" si="196"/>
        <v>260330.3</v>
      </c>
      <c r="CF158" s="69">
        <f t="shared" si="197"/>
        <v>800803.59</v>
      </c>
      <c r="CG158" s="70">
        <f t="shared" si="205"/>
        <v>0</v>
      </c>
      <c r="CH158" s="69">
        <f>IF(AND(G12="",H12="",I12=""),(CX5),G12)</f>
        <v>260330.30001199999</v>
      </c>
      <c r="CI158" s="69">
        <f>IF(AND(G12="",H12="",I12=""),(CY5),H12)</f>
        <v>800803.59001599997</v>
      </c>
      <c r="CJ158" s="68">
        <f t="shared" si="139"/>
        <v>26.05841667</v>
      </c>
      <c r="CK158" s="68">
        <f t="shared" si="140"/>
        <v>80.134330559999995</v>
      </c>
      <c r="CL158" s="68">
        <f t="shared" si="141"/>
        <v>26.05841667</v>
      </c>
      <c r="CM158" s="68">
        <f t="shared" si="142"/>
        <v>80.134330559999995</v>
      </c>
      <c r="CN158" s="68">
        <f t="shared" si="143"/>
        <v>0</v>
      </c>
      <c r="CO158" s="68">
        <f t="shared" si="144"/>
        <v>0</v>
      </c>
      <c r="CP158" s="68">
        <f t="shared" si="145"/>
        <v>0.43928729614546391</v>
      </c>
      <c r="CQ158" s="68">
        <f t="shared" si="146"/>
        <v>1.0027157713556663</v>
      </c>
      <c r="CR158" s="68">
        <f t="shared" si="147"/>
        <v>0</v>
      </c>
      <c r="CS158" s="68">
        <f t="shared" si="148"/>
        <v>0.48899531699999998</v>
      </c>
      <c r="CT158" s="68">
        <f t="shared" si="198"/>
        <v>0.23911642</v>
      </c>
      <c r="CU158" s="68">
        <f t="shared" si="149"/>
        <v>0</v>
      </c>
      <c r="CV158" s="68">
        <f t="shared" si="150"/>
        <v>0</v>
      </c>
      <c r="CW158" s="68">
        <f t="shared" si="151"/>
        <v>0</v>
      </c>
      <c r="CX158" s="68">
        <f t="shared" si="152"/>
        <v>0</v>
      </c>
      <c r="CY158" s="68">
        <f t="shared" si="153"/>
        <v>0</v>
      </c>
      <c r="CZ158" s="68" t="e">
        <f t="shared" si="154"/>
        <v>#DIV/0!</v>
      </c>
      <c r="DA158" s="68" t="e">
        <f t="shared" si="155"/>
        <v>#DIV/0!</v>
      </c>
      <c r="DB158" s="68" t="e">
        <f t="shared" si="156"/>
        <v>#DIV/0!</v>
      </c>
      <c r="DC158" s="68" t="e">
        <f t="shared" si="157"/>
        <v>#DIV/0!</v>
      </c>
      <c r="DD158" s="68" t="e">
        <f t="shared" si="158"/>
        <v>#DIV/0!</v>
      </c>
      <c r="DE158" s="68" t="e">
        <f t="shared" si="159"/>
        <v>#DIV/0!</v>
      </c>
      <c r="DF158" s="68" t="e">
        <f t="shared" si="199"/>
        <v>#DIV/0!</v>
      </c>
      <c r="DG158" s="68">
        <f t="shared" si="160"/>
        <v>0.45480516874807669</v>
      </c>
      <c r="DH158" s="68">
        <f t="shared" si="161"/>
        <v>1.3986079121535113</v>
      </c>
      <c r="DI158" s="68">
        <f t="shared" si="162"/>
        <v>0</v>
      </c>
      <c r="DJ158" s="68" t="e">
        <f t="shared" si="163"/>
        <v>#DIV/0!</v>
      </c>
      <c r="DK158" s="68" t="e">
        <f t="shared" si="164"/>
        <v>#DIV/0!</v>
      </c>
      <c r="DL158" s="68" t="e">
        <f t="shared" si="165"/>
        <v>#DIV/0!</v>
      </c>
      <c r="DM158" s="68" t="e">
        <f t="shared" si="166"/>
        <v>#DIV/0!</v>
      </c>
      <c r="DN158" s="68" t="e">
        <f t="shared" si="167"/>
        <v>#DIV/0!</v>
      </c>
      <c r="DO158" s="68" t="e">
        <f t="shared" si="168"/>
        <v>#DIV/0!</v>
      </c>
      <c r="DP158" s="68" t="e">
        <f t="shared" si="169"/>
        <v>#DIV/0!</v>
      </c>
      <c r="DQ158" s="68" t="e">
        <f t="shared" si="170"/>
        <v>#DIV/0!</v>
      </c>
      <c r="DR158" s="68" t="e">
        <f t="shared" si="171"/>
        <v>#DIV/0!</v>
      </c>
      <c r="DS158" s="68" t="e">
        <f t="shared" si="172"/>
        <v>#DIV/0!</v>
      </c>
      <c r="DT158" s="68" t="e">
        <f t="shared" si="173"/>
        <v>#DIV/0!</v>
      </c>
      <c r="DU158" s="68" t="e">
        <f t="shared" si="200"/>
        <v>#DIV/0!</v>
      </c>
      <c r="DV158" s="68" t="e">
        <f t="shared" si="174"/>
        <v>#DIV/0!</v>
      </c>
      <c r="DW158" s="68" t="e">
        <f t="shared" si="201"/>
        <v>#DIV/0!</v>
      </c>
      <c r="DX158" s="68">
        <f t="shared" si="175"/>
        <v>26.05841667</v>
      </c>
      <c r="DY158" s="68">
        <f t="shared" si="176"/>
        <v>80.134330559999995</v>
      </c>
      <c r="DZ158" s="68" t="e">
        <f t="shared" si="177"/>
        <v>#DIV/0!</v>
      </c>
      <c r="EA158" s="68" t="e">
        <f t="shared" si="178"/>
        <v>#DIV/0!</v>
      </c>
      <c r="EB158" s="68" t="e">
        <f t="shared" si="179"/>
        <v>#DIV/0!</v>
      </c>
      <c r="EC158" s="68" t="e">
        <f t="shared" si="180"/>
        <v>#DIV/0!</v>
      </c>
      <c r="ED158" s="68" t="e">
        <f t="shared" si="181"/>
        <v>#DIV/0!</v>
      </c>
      <c r="EE158" s="68" t="e">
        <f t="shared" si="182"/>
        <v>#DIV/0!</v>
      </c>
      <c r="EF158" s="68" t="e">
        <f t="shared" si="183"/>
        <v>#DIV/0!</v>
      </c>
      <c r="EG158" s="68" t="e">
        <f t="shared" si="184"/>
        <v>#DIV/0!</v>
      </c>
      <c r="EH158" s="68" t="e">
        <f t="shared" si="202"/>
        <v>#DIV/0!</v>
      </c>
      <c r="EI158" s="68" t="e">
        <f t="shared" si="185"/>
        <v>#DIV/0!</v>
      </c>
      <c r="EJ158" s="68" t="e">
        <f t="shared" si="186"/>
        <v>#DIV/0!</v>
      </c>
      <c r="EK158" s="68" t="e">
        <f t="shared" si="187"/>
        <v>#DIV/0!</v>
      </c>
      <c r="EL158" s="68" t="e">
        <f t="shared" si="188"/>
        <v>#DIV/0!</v>
      </c>
      <c r="EM158" s="68" t="e">
        <f t="shared" si="189"/>
        <v>#DIV/0!</v>
      </c>
      <c r="EN158" s="68" t="e">
        <f t="shared" si="190"/>
        <v>#DIV/0!</v>
      </c>
      <c r="EO158" s="68" t="e">
        <f t="shared" si="191"/>
        <v>#DIV/0!</v>
      </c>
      <c r="EP158" s="68" t="e">
        <f t="shared" si="192"/>
        <v>#DIV/0!</v>
      </c>
      <c r="EQ158" s="68" t="e">
        <f t="shared" si="193"/>
        <v>#DIV/0!</v>
      </c>
      <c r="ER158" s="68" t="e">
        <f t="shared" si="203"/>
        <v>#DIV/0!</v>
      </c>
    </row>
    <row r="159" spans="82:148" x14ac:dyDescent="0.25">
      <c r="CD159" s="68" t="s">
        <v>682</v>
      </c>
      <c r="CE159" s="69">
        <f t="shared" si="196"/>
        <v>260330.3</v>
      </c>
      <c r="CF159" s="69">
        <f t="shared" si="197"/>
        <v>800803.59</v>
      </c>
      <c r="CG159" s="70">
        <f t="shared" si="205"/>
        <v>0</v>
      </c>
      <c r="CH159" s="69">
        <f>IF(AND(G13="",H13="",I13=""),(CX6),G13)</f>
        <v>260330.30001199999</v>
      </c>
      <c r="CI159" s="69">
        <f>IF(AND(G13="",H13="",I13=""),(CY6),H13)</f>
        <v>800803.59001599997</v>
      </c>
      <c r="CJ159" s="68">
        <f t="shared" si="139"/>
        <v>26.05841667</v>
      </c>
      <c r="CK159" s="68">
        <f t="shared" si="140"/>
        <v>80.134330559999995</v>
      </c>
      <c r="CL159" s="68">
        <f t="shared" si="141"/>
        <v>26.05841667</v>
      </c>
      <c r="CM159" s="68">
        <f t="shared" si="142"/>
        <v>80.134330559999995</v>
      </c>
      <c r="CN159" s="68">
        <f t="shared" si="143"/>
        <v>0</v>
      </c>
      <c r="CO159" s="68">
        <f t="shared" si="144"/>
        <v>0</v>
      </c>
      <c r="CP159" s="68">
        <f t="shared" si="145"/>
        <v>0.43928729614546391</v>
      </c>
      <c r="CQ159" s="68">
        <f t="shared" si="146"/>
        <v>1.0027157713556663</v>
      </c>
      <c r="CR159" s="68">
        <f t="shared" si="147"/>
        <v>0</v>
      </c>
      <c r="CS159" s="68">
        <f t="shared" si="148"/>
        <v>0.48899531699999998</v>
      </c>
      <c r="CT159" s="68">
        <f t="shared" si="198"/>
        <v>0.23911642</v>
      </c>
      <c r="CU159" s="68">
        <f t="shared" si="149"/>
        <v>0</v>
      </c>
      <c r="CV159" s="68">
        <f t="shared" si="150"/>
        <v>0</v>
      </c>
      <c r="CW159" s="68">
        <f t="shared" si="151"/>
        <v>0</v>
      </c>
      <c r="CX159" s="68">
        <f t="shared" si="152"/>
        <v>0</v>
      </c>
      <c r="CY159" s="68">
        <f t="shared" si="153"/>
        <v>0</v>
      </c>
      <c r="CZ159" s="68" t="e">
        <f t="shared" si="154"/>
        <v>#DIV/0!</v>
      </c>
      <c r="DA159" s="68" t="e">
        <f t="shared" si="155"/>
        <v>#DIV/0!</v>
      </c>
      <c r="DB159" s="68" t="e">
        <f t="shared" si="156"/>
        <v>#DIV/0!</v>
      </c>
      <c r="DC159" s="68" t="e">
        <f t="shared" si="157"/>
        <v>#DIV/0!</v>
      </c>
      <c r="DD159" s="68" t="e">
        <f t="shared" si="158"/>
        <v>#DIV/0!</v>
      </c>
      <c r="DE159" s="68" t="e">
        <f t="shared" si="159"/>
        <v>#DIV/0!</v>
      </c>
      <c r="DF159" s="68" t="e">
        <f t="shared" si="199"/>
        <v>#DIV/0!</v>
      </c>
      <c r="DG159" s="68">
        <f t="shared" si="160"/>
        <v>0.45480516874807669</v>
      </c>
      <c r="DH159" s="68">
        <f t="shared" si="161"/>
        <v>1.3986079121535113</v>
      </c>
      <c r="DI159" s="68">
        <f t="shared" si="162"/>
        <v>0</v>
      </c>
      <c r="DJ159" s="68" t="e">
        <f t="shared" si="163"/>
        <v>#DIV/0!</v>
      </c>
      <c r="DK159" s="68" t="e">
        <f t="shared" si="164"/>
        <v>#DIV/0!</v>
      </c>
      <c r="DL159" s="68" t="e">
        <f t="shared" si="165"/>
        <v>#DIV/0!</v>
      </c>
      <c r="DM159" s="68" t="e">
        <f t="shared" si="166"/>
        <v>#DIV/0!</v>
      </c>
      <c r="DN159" s="68" t="e">
        <f t="shared" si="167"/>
        <v>#DIV/0!</v>
      </c>
      <c r="DO159" s="68" t="e">
        <f t="shared" si="168"/>
        <v>#DIV/0!</v>
      </c>
      <c r="DP159" s="68" t="e">
        <f t="shared" si="169"/>
        <v>#DIV/0!</v>
      </c>
      <c r="DQ159" s="68" t="e">
        <f t="shared" si="170"/>
        <v>#DIV/0!</v>
      </c>
      <c r="DR159" s="68" t="e">
        <f t="shared" si="171"/>
        <v>#DIV/0!</v>
      </c>
      <c r="DS159" s="68" t="e">
        <f t="shared" si="172"/>
        <v>#DIV/0!</v>
      </c>
      <c r="DT159" s="68" t="e">
        <f t="shared" si="173"/>
        <v>#DIV/0!</v>
      </c>
      <c r="DU159" s="68" t="e">
        <f t="shared" si="200"/>
        <v>#DIV/0!</v>
      </c>
      <c r="DV159" s="68" t="e">
        <f t="shared" si="174"/>
        <v>#DIV/0!</v>
      </c>
      <c r="DW159" s="68" t="e">
        <f t="shared" si="201"/>
        <v>#DIV/0!</v>
      </c>
      <c r="DX159" s="68">
        <f t="shared" si="175"/>
        <v>26.05841667</v>
      </c>
      <c r="DY159" s="68">
        <f t="shared" si="176"/>
        <v>80.134330559999995</v>
      </c>
      <c r="DZ159" s="68" t="e">
        <f t="shared" si="177"/>
        <v>#DIV/0!</v>
      </c>
      <c r="EA159" s="68" t="e">
        <f t="shared" si="178"/>
        <v>#DIV/0!</v>
      </c>
      <c r="EB159" s="68" t="e">
        <f t="shared" si="179"/>
        <v>#DIV/0!</v>
      </c>
      <c r="EC159" s="68" t="e">
        <f t="shared" si="180"/>
        <v>#DIV/0!</v>
      </c>
      <c r="ED159" s="68" t="e">
        <f t="shared" si="181"/>
        <v>#DIV/0!</v>
      </c>
      <c r="EE159" s="68" t="e">
        <f t="shared" si="182"/>
        <v>#DIV/0!</v>
      </c>
      <c r="EF159" s="68" t="e">
        <f t="shared" si="183"/>
        <v>#DIV/0!</v>
      </c>
      <c r="EG159" s="68" t="e">
        <f t="shared" si="184"/>
        <v>#DIV/0!</v>
      </c>
      <c r="EH159" s="68" t="e">
        <f t="shared" si="202"/>
        <v>#DIV/0!</v>
      </c>
      <c r="EI159" s="68" t="e">
        <f t="shared" si="185"/>
        <v>#DIV/0!</v>
      </c>
      <c r="EJ159" s="68" t="e">
        <f t="shared" si="186"/>
        <v>#DIV/0!</v>
      </c>
      <c r="EK159" s="68" t="e">
        <f t="shared" si="187"/>
        <v>#DIV/0!</v>
      </c>
      <c r="EL159" s="68" t="e">
        <f t="shared" si="188"/>
        <v>#DIV/0!</v>
      </c>
      <c r="EM159" s="68" t="e">
        <f t="shared" si="189"/>
        <v>#DIV/0!</v>
      </c>
      <c r="EN159" s="68" t="e">
        <f t="shared" si="190"/>
        <v>#DIV/0!</v>
      </c>
      <c r="EO159" s="68" t="e">
        <f t="shared" si="191"/>
        <v>#DIV/0!</v>
      </c>
      <c r="EP159" s="68" t="e">
        <f t="shared" si="192"/>
        <v>#DIV/0!</v>
      </c>
      <c r="EQ159" s="68" t="e">
        <f t="shared" si="193"/>
        <v>#DIV/0!</v>
      </c>
      <c r="ER159" s="68" t="e">
        <f t="shared" si="203"/>
        <v>#DIV/0!</v>
      </c>
    </row>
    <row r="160" spans="82:148" x14ac:dyDescent="0.25">
      <c r="CD160" s="68" t="s">
        <v>683</v>
      </c>
      <c r="CE160" s="69">
        <f t="shared" si="196"/>
        <v>260330.3</v>
      </c>
      <c r="CF160" s="69">
        <f t="shared" si="197"/>
        <v>800803.59</v>
      </c>
      <c r="CG160" s="70">
        <f t="shared" si="205"/>
        <v>0</v>
      </c>
      <c r="CH160" s="69">
        <f>IF(AND(G14="",H14="",I14=""),(CX7),G14)</f>
        <v>260330.30001199999</v>
      </c>
      <c r="CI160" s="69">
        <f>IF(AND(G14="",H14="",I14=""),(CY7),H14)</f>
        <v>800803.59001599997</v>
      </c>
      <c r="CJ160" s="68">
        <f t="shared" si="139"/>
        <v>26.05841667</v>
      </c>
      <c r="CK160" s="68">
        <f t="shared" si="140"/>
        <v>80.134330559999995</v>
      </c>
      <c r="CL160" s="68">
        <f t="shared" si="141"/>
        <v>26.05841667</v>
      </c>
      <c r="CM160" s="68">
        <f t="shared" si="142"/>
        <v>80.134330559999995</v>
      </c>
      <c r="CN160" s="68">
        <f t="shared" si="143"/>
        <v>0</v>
      </c>
      <c r="CO160" s="68">
        <f t="shared" si="144"/>
        <v>0</v>
      </c>
      <c r="CP160" s="68">
        <f t="shared" si="145"/>
        <v>0.43928729614546391</v>
      </c>
      <c r="CQ160" s="68">
        <f t="shared" si="146"/>
        <v>1.0027157713556663</v>
      </c>
      <c r="CR160" s="68">
        <f t="shared" si="147"/>
        <v>0</v>
      </c>
      <c r="CS160" s="68">
        <f t="shared" si="148"/>
        <v>0.48899531699999998</v>
      </c>
      <c r="CT160" s="68">
        <f t="shared" si="198"/>
        <v>0.23911642</v>
      </c>
      <c r="CU160" s="68">
        <f t="shared" si="149"/>
        <v>0</v>
      </c>
      <c r="CV160" s="68">
        <f t="shared" si="150"/>
        <v>0</v>
      </c>
      <c r="CW160" s="68">
        <f t="shared" si="151"/>
        <v>0</v>
      </c>
      <c r="CX160" s="68">
        <f t="shared" si="152"/>
        <v>0</v>
      </c>
      <c r="CY160" s="68">
        <f t="shared" si="153"/>
        <v>0</v>
      </c>
      <c r="CZ160" s="68" t="e">
        <f t="shared" si="154"/>
        <v>#DIV/0!</v>
      </c>
      <c r="DA160" s="68" t="e">
        <f t="shared" si="155"/>
        <v>#DIV/0!</v>
      </c>
      <c r="DB160" s="68" t="e">
        <f t="shared" si="156"/>
        <v>#DIV/0!</v>
      </c>
      <c r="DC160" s="68" t="e">
        <f t="shared" si="157"/>
        <v>#DIV/0!</v>
      </c>
      <c r="DD160" s="68" t="e">
        <f t="shared" si="158"/>
        <v>#DIV/0!</v>
      </c>
      <c r="DE160" s="68" t="e">
        <f t="shared" si="159"/>
        <v>#DIV/0!</v>
      </c>
      <c r="DF160" s="68" t="e">
        <f t="shared" si="199"/>
        <v>#DIV/0!</v>
      </c>
      <c r="DG160" s="68">
        <f t="shared" si="160"/>
        <v>0.45480516874807669</v>
      </c>
      <c r="DH160" s="68">
        <f t="shared" si="161"/>
        <v>1.3986079121535113</v>
      </c>
      <c r="DI160" s="68">
        <f t="shared" si="162"/>
        <v>0</v>
      </c>
      <c r="DJ160" s="68" t="e">
        <f t="shared" si="163"/>
        <v>#DIV/0!</v>
      </c>
      <c r="DK160" s="68" t="e">
        <f t="shared" si="164"/>
        <v>#DIV/0!</v>
      </c>
      <c r="DL160" s="68" t="e">
        <f t="shared" si="165"/>
        <v>#DIV/0!</v>
      </c>
      <c r="DM160" s="68" t="e">
        <f t="shared" si="166"/>
        <v>#DIV/0!</v>
      </c>
      <c r="DN160" s="68" t="e">
        <f t="shared" si="167"/>
        <v>#DIV/0!</v>
      </c>
      <c r="DO160" s="68" t="e">
        <f t="shared" si="168"/>
        <v>#DIV/0!</v>
      </c>
      <c r="DP160" s="68" t="e">
        <f t="shared" si="169"/>
        <v>#DIV/0!</v>
      </c>
      <c r="DQ160" s="68" t="e">
        <f t="shared" si="170"/>
        <v>#DIV/0!</v>
      </c>
      <c r="DR160" s="68" t="e">
        <f t="shared" si="171"/>
        <v>#DIV/0!</v>
      </c>
      <c r="DS160" s="68" t="e">
        <f t="shared" si="172"/>
        <v>#DIV/0!</v>
      </c>
      <c r="DT160" s="68" t="e">
        <f t="shared" si="173"/>
        <v>#DIV/0!</v>
      </c>
      <c r="DU160" s="68" t="e">
        <f t="shared" si="200"/>
        <v>#DIV/0!</v>
      </c>
      <c r="DV160" s="68" t="e">
        <f t="shared" si="174"/>
        <v>#DIV/0!</v>
      </c>
      <c r="DW160" s="68" t="e">
        <f t="shared" si="201"/>
        <v>#DIV/0!</v>
      </c>
      <c r="DX160" s="68">
        <f t="shared" si="175"/>
        <v>26.05841667</v>
      </c>
      <c r="DY160" s="68">
        <f t="shared" si="176"/>
        <v>80.134330559999995</v>
      </c>
      <c r="DZ160" s="68" t="e">
        <f t="shared" si="177"/>
        <v>#DIV/0!</v>
      </c>
      <c r="EA160" s="68" t="e">
        <f t="shared" si="178"/>
        <v>#DIV/0!</v>
      </c>
      <c r="EB160" s="68" t="e">
        <f t="shared" si="179"/>
        <v>#DIV/0!</v>
      </c>
      <c r="EC160" s="68" t="e">
        <f t="shared" si="180"/>
        <v>#DIV/0!</v>
      </c>
      <c r="ED160" s="68" t="e">
        <f t="shared" si="181"/>
        <v>#DIV/0!</v>
      </c>
      <c r="EE160" s="68" t="e">
        <f t="shared" si="182"/>
        <v>#DIV/0!</v>
      </c>
      <c r="EF160" s="68" t="e">
        <f t="shared" si="183"/>
        <v>#DIV/0!</v>
      </c>
      <c r="EG160" s="68" t="e">
        <f t="shared" si="184"/>
        <v>#DIV/0!</v>
      </c>
      <c r="EH160" s="68" t="e">
        <f t="shared" si="202"/>
        <v>#DIV/0!</v>
      </c>
      <c r="EI160" s="68" t="e">
        <f t="shared" si="185"/>
        <v>#DIV/0!</v>
      </c>
      <c r="EJ160" s="68" t="e">
        <f t="shared" si="186"/>
        <v>#DIV/0!</v>
      </c>
      <c r="EK160" s="68" t="e">
        <f t="shared" si="187"/>
        <v>#DIV/0!</v>
      </c>
      <c r="EL160" s="68" t="e">
        <f t="shared" si="188"/>
        <v>#DIV/0!</v>
      </c>
      <c r="EM160" s="68" t="e">
        <f t="shared" si="189"/>
        <v>#DIV/0!</v>
      </c>
      <c r="EN160" s="68" t="e">
        <f t="shared" si="190"/>
        <v>#DIV/0!</v>
      </c>
      <c r="EO160" s="68" t="e">
        <f t="shared" si="191"/>
        <v>#DIV/0!</v>
      </c>
      <c r="EP160" s="68" t="e">
        <f t="shared" si="192"/>
        <v>#DIV/0!</v>
      </c>
      <c r="EQ160" s="68" t="e">
        <f t="shared" si="193"/>
        <v>#DIV/0!</v>
      </c>
      <c r="ER160" s="68" t="e">
        <f t="shared" si="203"/>
        <v>#DIV/0!</v>
      </c>
    </row>
    <row r="161" spans="82:148" x14ac:dyDescent="0.25">
      <c r="CD161" s="68" t="s">
        <v>684</v>
      </c>
      <c r="CE161" s="69">
        <f t="shared" si="196"/>
        <v>260330.3</v>
      </c>
      <c r="CF161" s="69">
        <f t="shared" si="197"/>
        <v>800803.59</v>
      </c>
      <c r="CG161" s="70">
        <f t="shared" si="205"/>
        <v>0</v>
      </c>
      <c r="CH161" s="69">
        <f>IF(AND(G15="",H15="",I15=""),(CX8),G15)</f>
        <v>260330.30001199999</v>
      </c>
      <c r="CI161" s="69">
        <f>IF(AND(G15="",H15="",I15=""),(CY8),H15)</f>
        <v>800803.59001599997</v>
      </c>
      <c r="CJ161" s="68">
        <f t="shared" si="139"/>
        <v>26.05841667</v>
      </c>
      <c r="CK161" s="68">
        <f t="shared" si="140"/>
        <v>80.134330559999995</v>
      </c>
      <c r="CL161" s="68">
        <f t="shared" si="141"/>
        <v>26.05841667</v>
      </c>
      <c r="CM161" s="68">
        <f t="shared" si="142"/>
        <v>80.134330559999995</v>
      </c>
      <c r="CN161" s="68">
        <f t="shared" si="143"/>
        <v>0</v>
      </c>
      <c r="CO161" s="68">
        <f t="shared" si="144"/>
        <v>0</v>
      </c>
      <c r="CP161" s="68">
        <f t="shared" si="145"/>
        <v>0.43928729614546391</v>
      </c>
      <c r="CQ161" s="68">
        <f t="shared" si="146"/>
        <v>1.0027157713556663</v>
      </c>
      <c r="CR161" s="68">
        <f t="shared" si="147"/>
        <v>0</v>
      </c>
      <c r="CS161" s="68">
        <f t="shared" si="148"/>
        <v>0.48899531699999998</v>
      </c>
      <c r="CT161" s="68">
        <f t="shared" si="198"/>
        <v>0.23911642</v>
      </c>
      <c r="CU161" s="68">
        <f t="shared" si="149"/>
        <v>0</v>
      </c>
      <c r="CV161" s="68">
        <f t="shared" si="150"/>
        <v>0</v>
      </c>
      <c r="CW161" s="68">
        <f t="shared" si="151"/>
        <v>0</v>
      </c>
      <c r="CX161" s="68">
        <f t="shared" si="152"/>
        <v>0</v>
      </c>
      <c r="CY161" s="68">
        <f t="shared" si="153"/>
        <v>0</v>
      </c>
      <c r="CZ161" s="68" t="e">
        <f t="shared" si="154"/>
        <v>#DIV/0!</v>
      </c>
      <c r="DA161" s="68" t="e">
        <f t="shared" si="155"/>
        <v>#DIV/0!</v>
      </c>
      <c r="DB161" s="68" t="e">
        <f t="shared" si="156"/>
        <v>#DIV/0!</v>
      </c>
      <c r="DC161" s="68" t="e">
        <f t="shared" si="157"/>
        <v>#DIV/0!</v>
      </c>
      <c r="DD161" s="68" t="e">
        <f t="shared" si="158"/>
        <v>#DIV/0!</v>
      </c>
      <c r="DE161" s="68" t="e">
        <f t="shared" si="159"/>
        <v>#DIV/0!</v>
      </c>
      <c r="DF161" s="68" t="e">
        <f t="shared" si="199"/>
        <v>#DIV/0!</v>
      </c>
      <c r="DG161" s="68">
        <f t="shared" si="160"/>
        <v>0.45480516874807669</v>
      </c>
      <c r="DH161" s="68">
        <f t="shared" si="161"/>
        <v>1.3986079121535113</v>
      </c>
      <c r="DI161" s="68">
        <f t="shared" si="162"/>
        <v>0</v>
      </c>
      <c r="DJ161" s="68" t="e">
        <f t="shared" si="163"/>
        <v>#DIV/0!</v>
      </c>
      <c r="DK161" s="68" t="e">
        <f t="shared" si="164"/>
        <v>#DIV/0!</v>
      </c>
      <c r="DL161" s="68" t="e">
        <f t="shared" si="165"/>
        <v>#DIV/0!</v>
      </c>
      <c r="DM161" s="68" t="e">
        <f t="shared" si="166"/>
        <v>#DIV/0!</v>
      </c>
      <c r="DN161" s="68" t="e">
        <f t="shared" si="167"/>
        <v>#DIV/0!</v>
      </c>
      <c r="DO161" s="68" t="e">
        <f t="shared" si="168"/>
        <v>#DIV/0!</v>
      </c>
      <c r="DP161" s="68" t="e">
        <f t="shared" si="169"/>
        <v>#DIV/0!</v>
      </c>
      <c r="DQ161" s="68" t="e">
        <f t="shared" si="170"/>
        <v>#DIV/0!</v>
      </c>
      <c r="DR161" s="68" t="e">
        <f t="shared" si="171"/>
        <v>#DIV/0!</v>
      </c>
      <c r="DS161" s="68" t="e">
        <f t="shared" si="172"/>
        <v>#DIV/0!</v>
      </c>
      <c r="DT161" s="68" t="e">
        <f t="shared" si="173"/>
        <v>#DIV/0!</v>
      </c>
      <c r="DU161" s="68" t="e">
        <f t="shared" si="200"/>
        <v>#DIV/0!</v>
      </c>
      <c r="DV161" s="68" t="e">
        <f t="shared" si="174"/>
        <v>#DIV/0!</v>
      </c>
      <c r="DW161" s="68" t="e">
        <f t="shared" si="201"/>
        <v>#DIV/0!</v>
      </c>
      <c r="DX161" s="68">
        <f t="shared" si="175"/>
        <v>26.05841667</v>
      </c>
      <c r="DY161" s="68">
        <f t="shared" si="176"/>
        <v>80.134330559999995</v>
      </c>
      <c r="DZ161" s="68" t="e">
        <f t="shared" si="177"/>
        <v>#DIV/0!</v>
      </c>
      <c r="EA161" s="68" t="e">
        <f t="shared" si="178"/>
        <v>#DIV/0!</v>
      </c>
      <c r="EB161" s="68" t="e">
        <f t="shared" si="179"/>
        <v>#DIV/0!</v>
      </c>
      <c r="EC161" s="68" t="e">
        <f t="shared" si="180"/>
        <v>#DIV/0!</v>
      </c>
      <c r="ED161" s="68" t="e">
        <f t="shared" si="181"/>
        <v>#DIV/0!</v>
      </c>
      <c r="EE161" s="68" t="e">
        <f t="shared" si="182"/>
        <v>#DIV/0!</v>
      </c>
      <c r="EF161" s="68" t="e">
        <f t="shared" si="183"/>
        <v>#DIV/0!</v>
      </c>
      <c r="EG161" s="68" t="e">
        <f t="shared" si="184"/>
        <v>#DIV/0!</v>
      </c>
      <c r="EH161" s="68" t="e">
        <f t="shared" si="202"/>
        <v>#DIV/0!</v>
      </c>
      <c r="EI161" s="68" t="e">
        <f t="shared" si="185"/>
        <v>#DIV/0!</v>
      </c>
      <c r="EJ161" s="68" t="e">
        <f t="shared" si="186"/>
        <v>#DIV/0!</v>
      </c>
      <c r="EK161" s="68" t="e">
        <f t="shared" si="187"/>
        <v>#DIV/0!</v>
      </c>
      <c r="EL161" s="68" t="e">
        <f t="shared" si="188"/>
        <v>#DIV/0!</v>
      </c>
      <c r="EM161" s="68" t="e">
        <f t="shared" si="189"/>
        <v>#DIV/0!</v>
      </c>
      <c r="EN161" s="68" t="e">
        <f t="shared" si="190"/>
        <v>#DIV/0!</v>
      </c>
      <c r="EO161" s="68" t="e">
        <f t="shared" si="191"/>
        <v>#DIV/0!</v>
      </c>
      <c r="EP161" s="68" t="e">
        <f t="shared" si="192"/>
        <v>#DIV/0!</v>
      </c>
      <c r="EQ161" s="68" t="e">
        <f t="shared" si="193"/>
        <v>#DIV/0!</v>
      </c>
      <c r="ER161" s="68" t="e">
        <f t="shared" si="203"/>
        <v>#DIV/0!</v>
      </c>
    </row>
    <row r="162" spans="82:148" x14ac:dyDescent="0.25">
      <c r="CD162" s="68" t="s">
        <v>685</v>
      </c>
      <c r="CE162" s="69">
        <f t="shared" si="196"/>
        <v>260330.3</v>
      </c>
      <c r="CF162" s="69">
        <f t="shared" si="197"/>
        <v>800803.59</v>
      </c>
      <c r="CG162" s="70">
        <f t="shared" si="205"/>
        <v>0</v>
      </c>
      <c r="CH162" s="69">
        <f t="shared" ref="CH162:CH206" si="206">IF(AND(G16="",H16="",I16=""),(CX9),G16)</f>
        <v>260330.30001199999</v>
      </c>
      <c r="CI162" s="69">
        <f t="shared" ref="CI162:CI206" si="207">IF(AND(G16="",H16="",I16=""),(CY9),H16)</f>
        <v>800803.59001599997</v>
      </c>
      <c r="CJ162" s="68">
        <f t="shared" si="139"/>
        <v>26.05841667</v>
      </c>
      <c r="CK162" s="68">
        <f t="shared" si="140"/>
        <v>80.134330559999995</v>
      </c>
      <c r="CL162" s="68">
        <f t="shared" si="141"/>
        <v>26.05841667</v>
      </c>
      <c r="CM162" s="68">
        <f t="shared" si="142"/>
        <v>80.134330559999995</v>
      </c>
      <c r="CN162" s="68">
        <f t="shared" si="143"/>
        <v>0</v>
      </c>
      <c r="CO162" s="68">
        <f t="shared" si="144"/>
        <v>0</v>
      </c>
      <c r="CP162" s="68">
        <f t="shared" si="145"/>
        <v>0.43928729614546391</v>
      </c>
      <c r="CQ162" s="68">
        <f t="shared" si="146"/>
        <v>1.0027157713556663</v>
      </c>
      <c r="CR162" s="68">
        <f t="shared" si="147"/>
        <v>0</v>
      </c>
      <c r="CS162" s="68">
        <f t="shared" si="148"/>
        <v>0.48899531699999998</v>
      </c>
      <c r="CT162" s="68">
        <f t="shared" si="198"/>
        <v>0.23911642</v>
      </c>
      <c r="CU162" s="68">
        <f t="shared" si="149"/>
        <v>0</v>
      </c>
      <c r="CV162" s="68">
        <f t="shared" si="150"/>
        <v>0</v>
      </c>
      <c r="CW162" s="68">
        <f t="shared" si="151"/>
        <v>0</v>
      </c>
      <c r="CX162" s="68">
        <f t="shared" si="152"/>
        <v>0</v>
      </c>
      <c r="CY162" s="68">
        <f t="shared" si="153"/>
        <v>0</v>
      </c>
      <c r="CZ162" s="68" t="e">
        <f t="shared" si="154"/>
        <v>#DIV/0!</v>
      </c>
      <c r="DA162" s="68" t="e">
        <f t="shared" si="155"/>
        <v>#DIV/0!</v>
      </c>
      <c r="DB162" s="68" t="e">
        <f t="shared" si="156"/>
        <v>#DIV/0!</v>
      </c>
      <c r="DC162" s="68" t="e">
        <f t="shared" si="157"/>
        <v>#DIV/0!</v>
      </c>
      <c r="DD162" s="68" t="e">
        <f t="shared" si="158"/>
        <v>#DIV/0!</v>
      </c>
      <c r="DE162" s="68" t="e">
        <f t="shared" si="159"/>
        <v>#DIV/0!</v>
      </c>
      <c r="DF162" s="68" t="e">
        <f t="shared" si="199"/>
        <v>#DIV/0!</v>
      </c>
      <c r="DG162" s="68">
        <f t="shared" si="160"/>
        <v>0.45480516874807669</v>
      </c>
      <c r="DH162" s="68">
        <f t="shared" si="161"/>
        <v>1.3986079121535113</v>
      </c>
      <c r="DI162" s="68">
        <f t="shared" si="162"/>
        <v>0</v>
      </c>
      <c r="DJ162" s="68" t="e">
        <f t="shared" si="163"/>
        <v>#DIV/0!</v>
      </c>
      <c r="DK162" s="68" t="e">
        <f t="shared" si="164"/>
        <v>#DIV/0!</v>
      </c>
      <c r="DL162" s="68" t="e">
        <f t="shared" si="165"/>
        <v>#DIV/0!</v>
      </c>
      <c r="DM162" s="68" t="e">
        <f t="shared" si="166"/>
        <v>#DIV/0!</v>
      </c>
      <c r="DN162" s="68" t="e">
        <f t="shared" si="167"/>
        <v>#DIV/0!</v>
      </c>
      <c r="DO162" s="68" t="e">
        <f t="shared" si="168"/>
        <v>#DIV/0!</v>
      </c>
      <c r="DP162" s="68" t="e">
        <f t="shared" si="169"/>
        <v>#DIV/0!</v>
      </c>
      <c r="DQ162" s="68" t="e">
        <f t="shared" si="170"/>
        <v>#DIV/0!</v>
      </c>
      <c r="DR162" s="68" t="e">
        <f t="shared" si="171"/>
        <v>#DIV/0!</v>
      </c>
      <c r="DS162" s="68" t="e">
        <f t="shared" si="172"/>
        <v>#DIV/0!</v>
      </c>
      <c r="DT162" s="68" t="e">
        <f t="shared" si="173"/>
        <v>#DIV/0!</v>
      </c>
      <c r="DU162" s="68" t="e">
        <f t="shared" si="200"/>
        <v>#DIV/0!</v>
      </c>
      <c r="DV162" s="68" t="e">
        <f t="shared" si="174"/>
        <v>#DIV/0!</v>
      </c>
      <c r="DW162" s="68" t="e">
        <f t="shared" si="201"/>
        <v>#DIV/0!</v>
      </c>
      <c r="DX162" s="68">
        <f t="shared" si="175"/>
        <v>26.05841667</v>
      </c>
      <c r="DY162" s="68">
        <f t="shared" si="176"/>
        <v>80.134330559999995</v>
      </c>
      <c r="DZ162" s="68" t="e">
        <f t="shared" si="177"/>
        <v>#DIV/0!</v>
      </c>
      <c r="EA162" s="68" t="e">
        <f t="shared" si="178"/>
        <v>#DIV/0!</v>
      </c>
      <c r="EB162" s="68" t="e">
        <f t="shared" si="179"/>
        <v>#DIV/0!</v>
      </c>
      <c r="EC162" s="68" t="e">
        <f t="shared" si="180"/>
        <v>#DIV/0!</v>
      </c>
      <c r="ED162" s="68" t="e">
        <f t="shared" si="181"/>
        <v>#DIV/0!</v>
      </c>
      <c r="EE162" s="68" t="e">
        <f t="shared" si="182"/>
        <v>#DIV/0!</v>
      </c>
      <c r="EF162" s="68" t="e">
        <f t="shared" si="183"/>
        <v>#DIV/0!</v>
      </c>
      <c r="EG162" s="68" t="e">
        <f t="shared" si="184"/>
        <v>#DIV/0!</v>
      </c>
      <c r="EH162" s="68" t="e">
        <f t="shared" si="202"/>
        <v>#DIV/0!</v>
      </c>
      <c r="EI162" s="68" t="e">
        <f t="shared" si="185"/>
        <v>#DIV/0!</v>
      </c>
      <c r="EJ162" s="68" t="e">
        <f t="shared" si="186"/>
        <v>#DIV/0!</v>
      </c>
      <c r="EK162" s="68" t="e">
        <f t="shared" si="187"/>
        <v>#DIV/0!</v>
      </c>
      <c r="EL162" s="68" t="e">
        <f t="shared" si="188"/>
        <v>#DIV/0!</v>
      </c>
      <c r="EM162" s="68" t="e">
        <f t="shared" si="189"/>
        <v>#DIV/0!</v>
      </c>
      <c r="EN162" s="68" t="e">
        <f t="shared" si="190"/>
        <v>#DIV/0!</v>
      </c>
      <c r="EO162" s="68" t="e">
        <f t="shared" si="191"/>
        <v>#DIV/0!</v>
      </c>
      <c r="EP162" s="68" t="e">
        <f t="shared" si="192"/>
        <v>#DIV/0!</v>
      </c>
      <c r="EQ162" s="68" t="e">
        <f t="shared" si="193"/>
        <v>#DIV/0!</v>
      </c>
      <c r="ER162" s="68" t="e">
        <f t="shared" si="203"/>
        <v>#DIV/0!</v>
      </c>
    </row>
    <row r="163" spans="82:148" x14ac:dyDescent="0.25">
      <c r="CD163" s="68" t="s">
        <v>686</v>
      </c>
      <c r="CE163" s="69">
        <f t="shared" si="196"/>
        <v>260330.3</v>
      </c>
      <c r="CF163" s="69">
        <f t="shared" si="197"/>
        <v>800803.59</v>
      </c>
      <c r="CG163" s="70">
        <f t="shared" si="205"/>
        <v>0</v>
      </c>
      <c r="CH163" s="69">
        <f t="shared" si="206"/>
        <v>260330.30001199999</v>
      </c>
      <c r="CI163" s="69">
        <f t="shared" si="207"/>
        <v>800803.59001599997</v>
      </c>
      <c r="CJ163" s="68">
        <f t="shared" si="139"/>
        <v>26.05841667</v>
      </c>
      <c r="CK163" s="68">
        <f t="shared" si="140"/>
        <v>80.134330559999995</v>
      </c>
      <c r="CL163" s="68">
        <f t="shared" si="141"/>
        <v>26.05841667</v>
      </c>
      <c r="CM163" s="68">
        <f t="shared" si="142"/>
        <v>80.134330559999995</v>
      </c>
      <c r="CN163" s="68">
        <f t="shared" si="143"/>
        <v>0</v>
      </c>
      <c r="CO163" s="68">
        <f t="shared" si="144"/>
        <v>0</v>
      </c>
      <c r="CP163" s="68">
        <f t="shared" si="145"/>
        <v>0.43928729614546391</v>
      </c>
      <c r="CQ163" s="68">
        <f t="shared" si="146"/>
        <v>1.0027157713556663</v>
      </c>
      <c r="CR163" s="68">
        <f t="shared" si="147"/>
        <v>0</v>
      </c>
      <c r="CS163" s="68">
        <f t="shared" si="148"/>
        <v>0.48899531699999998</v>
      </c>
      <c r="CT163" s="68">
        <f t="shared" si="198"/>
        <v>0.23911642</v>
      </c>
      <c r="CU163" s="68">
        <f t="shared" si="149"/>
        <v>0</v>
      </c>
      <c r="CV163" s="68">
        <f t="shared" si="150"/>
        <v>0</v>
      </c>
      <c r="CW163" s="68">
        <f t="shared" si="151"/>
        <v>0</v>
      </c>
      <c r="CX163" s="68">
        <f t="shared" si="152"/>
        <v>0</v>
      </c>
      <c r="CY163" s="68">
        <f t="shared" si="153"/>
        <v>0</v>
      </c>
      <c r="CZ163" s="68" t="e">
        <f t="shared" si="154"/>
        <v>#DIV/0!</v>
      </c>
      <c r="DA163" s="68" t="e">
        <f t="shared" si="155"/>
        <v>#DIV/0!</v>
      </c>
      <c r="DB163" s="68" t="e">
        <f t="shared" si="156"/>
        <v>#DIV/0!</v>
      </c>
      <c r="DC163" s="68" t="e">
        <f t="shared" si="157"/>
        <v>#DIV/0!</v>
      </c>
      <c r="DD163" s="68" t="e">
        <f t="shared" si="158"/>
        <v>#DIV/0!</v>
      </c>
      <c r="DE163" s="68" t="e">
        <f t="shared" si="159"/>
        <v>#DIV/0!</v>
      </c>
      <c r="DF163" s="68" t="e">
        <f t="shared" si="199"/>
        <v>#DIV/0!</v>
      </c>
      <c r="DG163" s="68">
        <f t="shared" si="160"/>
        <v>0.45480516874807669</v>
      </c>
      <c r="DH163" s="68">
        <f t="shared" si="161"/>
        <v>1.3986079121535113</v>
      </c>
      <c r="DI163" s="68">
        <f t="shared" si="162"/>
        <v>0</v>
      </c>
      <c r="DJ163" s="68" t="e">
        <f t="shared" si="163"/>
        <v>#DIV/0!</v>
      </c>
      <c r="DK163" s="68" t="e">
        <f t="shared" si="164"/>
        <v>#DIV/0!</v>
      </c>
      <c r="DL163" s="68" t="e">
        <f t="shared" si="165"/>
        <v>#DIV/0!</v>
      </c>
      <c r="DM163" s="68" t="e">
        <f t="shared" si="166"/>
        <v>#DIV/0!</v>
      </c>
      <c r="DN163" s="68" t="e">
        <f t="shared" si="167"/>
        <v>#DIV/0!</v>
      </c>
      <c r="DO163" s="68" t="e">
        <f t="shared" si="168"/>
        <v>#DIV/0!</v>
      </c>
      <c r="DP163" s="68" t="e">
        <f t="shared" si="169"/>
        <v>#DIV/0!</v>
      </c>
      <c r="DQ163" s="68" t="e">
        <f t="shared" si="170"/>
        <v>#DIV/0!</v>
      </c>
      <c r="DR163" s="68" t="e">
        <f t="shared" si="171"/>
        <v>#DIV/0!</v>
      </c>
      <c r="DS163" s="68" t="e">
        <f t="shared" si="172"/>
        <v>#DIV/0!</v>
      </c>
      <c r="DT163" s="68" t="e">
        <f t="shared" si="173"/>
        <v>#DIV/0!</v>
      </c>
      <c r="DU163" s="68" t="e">
        <f t="shared" si="200"/>
        <v>#DIV/0!</v>
      </c>
      <c r="DV163" s="68" t="e">
        <f t="shared" si="174"/>
        <v>#DIV/0!</v>
      </c>
      <c r="DW163" s="68" t="e">
        <f t="shared" si="201"/>
        <v>#DIV/0!</v>
      </c>
      <c r="DX163" s="68">
        <f t="shared" si="175"/>
        <v>26.05841667</v>
      </c>
      <c r="DY163" s="68">
        <f t="shared" si="176"/>
        <v>80.134330559999995</v>
      </c>
      <c r="DZ163" s="68" t="e">
        <f t="shared" si="177"/>
        <v>#DIV/0!</v>
      </c>
      <c r="EA163" s="68" t="e">
        <f t="shared" si="178"/>
        <v>#DIV/0!</v>
      </c>
      <c r="EB163" s="68" t="e">
        <f t="shared" si="179"/>
        <v>#DIV/0!</v>
      </c>
      <c r="EC163" s="68" t="e">
        <f t="shared" si="180"/>
        <v>#DIV/0!</v>
      </c>
      <c r="ED163" s="68" t="e">
        <f t="shared" si="181"/>
        <v>#DIV/0!</v>
      </c>
      <c r="EE163" s="68" t="e">
        <f t="shared" si="182"/>
        <v>#DIV/0!</v>
      </c>
      <c r="EF163" s="68" t="e">
        <f t="shared" si="183"/>
        <v>#DIV/0!</v>
      </c>
      <c r="EG163" s="68" t="e">
        <f t="shared" si="184"/>
        <v>#DIV/0!</v>
      </c>
      <c r="EH163" s="68" t="e">
        <f t="shared" si="202"/>
        <v>#DIV/0!</v>
      </c>
      <c r="EI163" s="68" t="e">
        <f t="shared" si="185"/>
        <v>#DIV/0!</v>
      </c>
      <c r="EJ163" s="68" t="e">
        <f t="shared" si="186"/>
        <v>#DIV/0!</v>
      </c>
      <c r="EK163" s="68" t="e">
        <f t="shared" si="187"/>
        <v>#DIV/0!</v>
      </c>
      <c r="EL163" s="68" t="e">
        <f t="shared" si="188"/>
        <v>#DIV/0!</v>
      </c>
      <c r="EM163" s="68" t="e">
        <f t="shared" si="189"/>
        <v>#DIV/0!</v>
      </c>
      <c r="EN163" s="68" t="e">
        <f t="shared" si="190"/>
        <v>#DIV/0!</v>
      </c>
      <c r="EO163" s="68" t="e">
        <f t="shared" si="191"/>
        <v>#DIV/0!</v>
      </c>
      <c r="EP163" s="68" t="e">
        <f t="shared" si="192"/>
        <v>#DIV/0!</v>
      </c>
      <c r="EQ163" s="68" t="e">
        <f t="shared" si="193"/>
        <v>#DIV/0!</v>
      </c>
      <c r="ER163" s="68" t="e">
        <f t="shared" si="203"/>
        <v>#DIV/0!</v>
      </c>
    </row>
    <row r="164" spans="82:148" x14ac:dyDescent="0.25">
      <c r="CD164" s="68" t="s">
        <v>687</v>
      </c>
      <c r="CE164" s="69">
        <f t="shared" si="196"/>
        <v>260330.3</v>
      </c>
      <c r="CF164" s="69">
        <f t="shared" si="197"/>
        <v>800803.59</v>
      </c>
      <c r="CG164" s="70">
        <f t="shared" si="205"/>
        <v>0</v>
      </c>
      <c r="CH164" s="69">
        <f t="shared" si="206"/>
        <v>260330.30001199999</v>
      </c>
      <c r="CI164" s="69">
        <f t="shared" si="207"/>
        <v>800803.59001599997</v>
      </c>
      <c r="CJ164" s="68">
        <f t="shared" si="139"/>
        <v>26.05841667</v>
      </c>
      <c r="CK164" s="68">
        <f t="shared" si="140"/>
        <v>80.134330559999995</v>
      </c>
      <c r="CL164" s="68">
        <f t="shared" si="141"/>
        <v>26.05841667</v>
      </c>
      <c r="CM164" s="68">
        <f t="shared" si="142"/>
        <v>80.134330559999995</v>
      </c>
      <c r="CN164" s="68">
        <f t="shared" si="143"/>
        <v>0</v>
      </c>
      <c r="CO164" s="68">
        <f t="shared" si="144"/>
        <v>0</v>
      </c>
      <c r="CP164" s="68">
        <f t="shared" si="145"/>
        <v>0.43928729614546391</v>
      </c>
      <c r="CQ164" s="68">
        <f t="shared" si="146"/>
        <v>1.0027157713556663</v>
      </c>
      <c r="CR164" s="68">
        <f t="shared" si="147"/>
        <v>0</v>
      </c>
      <c r="CS164" s="68">
        <f t="shared" si="148"/>
        <v>0.48899531699999998</v>
      </c>
      <c r="CT164" s="68">
        <f t="shared" si="198"/>
        <v>0.23911642</v>
      </c>
      <c r="CU164" s="68">
        <f t="shared" si="149"/>
        <v>0</v>
      </c>
      <c r="CV164" s="68">
        <f t="shared" si="150"/>
        <v>0</v>
      </c>
      <c r="CW164" s="68">
        <f t="shared" si="151"/>
        <v>0</v>
      </c>
      <c r="CX164" s="68">
        <f t="shared" si="152"/>
        <v>0</v>
      </c>
      <c r="CY164" s="68">
        <f t="shared" si="153"/>
        <v>0</v>
      </c>
      <c r="CZ164" s="68" t="e">
        <f t="shared" si="154"/>
        <v>#DIV/0!</v>
      </c>
      <c r="DA164" s="68" t="e">
        <f t="shared" si="155"/>
        <v>#DIV/0!</v>
      </c>
      <c r="DB164" s="68" t="e">
        <f t="shared" si="156"/>
        <v>#DIV/0!</v>
      </c>
      <c r="DC164" s="68" t="e">
        <f t="shared" si="157"/>
        <v>#DIV/0!</v>
      </c>
      <c r="DD164" s="68" t="e">
        <f t="shared" si="158"/>
        <v>#DIV/0!</v>
      </c>
      <c r="DE164" s="68" t="e">
        <f t="shared" si="159"/>
        <v>#DIV/0!</v>
      </c>
      <c r="DF164" s="68" t="e">
        <f t="shared" si="199"/>
        <v>#DIV/0!</v>
      </c>
      <c r="DG164" s="68">
        <f t="shared" si="160"/>
        <v>0.45480516874807669</v>
      </c>
      <c r="DH164" s="68">
        <f t="shared" si="161"/>
        <v>1.3986079121535113</v>
      </c>
      <c r="DI164" s="68">
        <f t="shared" si="162"/>
        <v>0</v>
      </c>
      <c r="DJ164" s="68" t="e">
        <f t="shared" si="163"/>
        <v>#DIV/0!</v>
      </c>
      <c r="DK164" s="68" t="e">
        <f t="shared" si="164"/>
        <v>#DIV/0!</v>
      </c>
      <c r="DL164" s="68" t="e">
        <f t="shared" si="165"/>
        <v>#DIV/0!</v>
      </c>
      <c r="DM164" s="68" t="e">
        <f t="shared" si="166"/>
        <v>#DIV/0!</v>
      </c>
      <c r="DN164" s="68" t="e">
        <f t="shared" si="167"/>
        <v>#DIV/0!</v>
      </c>
      <c r="DO164" s="68" t="e">
        <f t="shared" si="168"/>
        <v>#DIV/0!</v>
      </c>
      <c r="DP164" s="68" t="e">
        <f t="shared" si="169"/>
        <v>#DIV/0!</v>
      </c>
      <c r="DQ164" s="68" t="e">
        <f t="shared" si="170"/>
        <v>#DIV/0!</v>
      </c>
      <c r="DR164" s="68" t="e">
        <f t="shared" si="171"/>
        <v>#DIV/0!</v>
      </c>
      <c r="DS164" s="68" t="e">
        <f t="shared" si="172"/>
        <v>#DIV/0!</v>
      </c>
      <c r="DT164" s="68" t="e">
        <f t="shared" si="173"/>
        <v>#DIV/0!</v>
      </c>
      <c r="DU164" s="68" t="e">
        <f t="shared" si="200"/>
        <v>#DIV/0!</v>
      </c>
      <c r="DV164" s="68" t="e">
        <f t="shared" si="174"/>
        <v>#DIV/0!</v>
      </c>
      <c r="DW164" s="68" t="e">
        <f t="shared" si="201"/>
        <v>#DIV/0!</v>
      </c>
      <c r="DX164" s="68">
        <f t="shared" si="175"/>
        <v>26.05841667</v>
      </c>
      <c r="DY164" s="68">
        <f t="shared" si="176"/>
        <v>80.134330559999995</v>
      </c>
      <c r="DZ164" s="68" t="e">
        <f t="shared" si="177"/>
        <v>#DIV/0!</v>
      </c>
      <c r="EA164" s="68" t="e">
        <f t="shared" si="178"/>
        <v>#DIV/0!</v>
      </c>
      <c r="EB164" s="68" t="e">
        <f t="shared" si="179"/>
        <v>#DIV/0!</v>
      </c>
      <c r="EC164" s="68" t="e">
        <f t="shared" si="180"/>
        <v>#DIV/0!</v>
      </c>
      <c r="ED164" s="68" t="e">
        <f t="shared" si="181"/>
        <v>#DIV/0!</v>
      </c>
      <c r="EE164" s="68" t="e">
        <f t="shared" si="182"/>
        <v>#DIV/0!</v>
      </c>
      <c r="EF164" s="68" t="e">
        <f t="shared" si="183"/>
        <v>#DIV/0!</v>
      </c>
      <c r="EG164" s="68" t="e">
        <f t="shared" si="184"/>
        <v>#DIV/0!</v>
      </c>
      <c r="EH164" s="68" t="e">
        <f t="shared" si="202"/>
        <v>#DIV/0!</v>
      </c>
      <c r="EI164" s="68" t="e">
        <f t="shared" si="185"/>
        <v>#DIV/0!</v>
      </c>
      <c r="EJ164" s="68" t="e">
        <f t="shared" si="186"/>
        <v>#DIV/0!</v>
      </c>
      <c r="EK164" s="68" t="e">
        <f t="shared" si="187"/>
        <v>#DIV/0!</v>
      </c>
      <c r="EL164" s="68" t="e">
        <f t="shared" si="188"/>
        <v>#DIV/0!</v>
      </c>
      <c r="EM164" s="68" t="e">
        <f t="shared" si="189"/>
        <v>#DIV/0!</v>
      </c>
      <c r="EN164" s="68" t="e">
        <f t="shared" si="190"/>
        <v>#DIV/0!</v>
      </c>
      <c r="EO164" s="68" t="e">
        <f t="shared" si="191"/>
        <v>#DIV/0!</v>
      </c>
      <c r="EP164" s="68" t="e">
        <f t="shared" si="192"/>
        <v>#DIV/0!</v>
      </c>
      <c r="EQ164" s="68" t="e">
        <f t="shared" si="193"/>
        <v>#DIV/0!</v>
      </c>
      <c r="ER164" s="68" t="e">
        <f t="shared" si="203"/>
        <v>#DIV/0!</v>
      </c>
    </row>
    <row r="165" spans="82:148" x14ac:dyDescent="0.25">
      <c r="CD165" s="68" t="s">
        <v>688</v>
      </c>
      <c r="CE165" s="69">
        <f t="shared" si="196"/>
        <v>260330.3</v>
      </c>
      <c r="CF165" s="69">
        <f t="shared" si="197"/>
        <v>800803.59</v>
      </c>
      <c r="CG165" s="70">
        <f t="shared" si="205"/>
        <v>0</v>
      </c>
      <c r="CH165" s="69">
        <f t="shared" si="206"/>
        <v>260330.30001199999</v>
      </c>
      <c r="CI165" s="69">
        <f t="shared" si="207"/>
        <v>800803.59001599997</v>
      </c>
      <c r="CJ165" s="68">
        <f t="shared" si="139"/>
        <v>26.05841667</v>
      </c>
      <c r="CK165" s="68">
        <f t="shared" si="140"/>
        <v>80.134330559999995</v>
      </c>
      <c r="CL165" s="68">
        <f t="shared" si="141"/>
        <v>26.05841667</v>
      </c>
      <c r="CM165" s="68">
        <f t="shared" si="142"/>
        <v>80.134330559999995</v>
      </c>
      <c r="CN165" s="68">
        <f t="shared" si="143"/>
        <v>0</v>
      </c>
      <c r="CO165" s="68">
        <f t="shared" si="144"/>
        <v>0</v>
      </c>
      <c r="CP165" s="68">
        <f t="shared" si="145"/>
        <v>0.43928729614546391</v>
      </c>
      <c r="CQ165" s="68">
        <f t="shared" si="146"/>
        <v>1.0027157713556663</v>
      </c>
      <c r="CR165" s="68">
        <f t="shared" si="147"/>
        <v>0</v>
      </c>
      <c r="CS165" s="68">
        <f t="shared" si="148"/>
        <v>0.48899531699999998</v>
      </c>
      <c r="CT165" s="68">
        <f t="shared" si="198"/>
        <v>0.23911642</v>
      </c>
      <c r="CU165" s="68">
        <f t="shared" si="149"/>
        <v>0</v>
      </c>
      <c r="CV165" s="68">
        <f t="shared" si="150"/>
        <v>0</v>
      </c>
      <c r="CW165" s="68">
        <f t="shared" si="151"/>
        <v>0</v>
      </c>
      <c r="CX165" s="68">
        <f t="shared" si="152"/>
        <v>0</v>
      </c>
      <c r="CY165" s="68">
        <f t="shared" si="153"/>
        <v>0</v>
      </c>
      <c r="CZ165" s="68" t="e">
        <f t="shared" si="154"/>
        <v>#DIV/0!</v>
      </c>
      <c r="DA165" s="68" t="e">
        <f t="shared" si="155"/>
        <v>#DIV/0!</v>
      </c>
      <c r="DB165" s="68" t="e">
        <f t="shared" si="156"/>
        <v>#DIV/0!</v>
      </c>
      <c r="DC165" s="68" t="e">
        <f t="shared" si="157"/>
        <v>#DIV/0!</v>
      </c>
      <c r="DD165" s="68" t="e">
        <f t="shared" si="158"/>
        <v>#DIV/0!</v>
      </c>
      <c r="DE165" s="68" t="e">
        <f t="shared" si="159"/>
        <v>#DIV/0!</v>
      </c>
      <c r="DF165" s="68" t="e">
        <f t="shared" si="199"/>
        <v>#DIV/0!</v>
      </c>
      <c r="DG165" s="68">
        <f t="shared" si="160"/>
        <v>0.45480516874807669</v>
      </c>
      <c r="DH165" s="68">
        <f t="shared" si="161"/>
        <v>1.3986079121535113</v>
      </c>
      <c r="DI165" s="68">
        <f t="shared" si="162"/>
        <v>0</v>
      </c>
      <c r="DJ165" s="68" t="e">
        <f t="shared" si="163"/>
        <v>#DIV/0!</v>
      </c>
      <c r="DK165" s="68" t="e">
        <f t="shared" si="164"/>
        <v>#DIV/0!</v>
      </c>
      <c r="DL165" s="68" t="e">
        <f t="shared" si="165"/>
        <v>#DIV/0!</v>
      </c>
      <c r="DM165" s="68" t="e">
        <f t="shared" si="166"/>
        <v>#DIV/0!</v>
      </c>
      <c r="DN165" s="68" t="e">
        <f t="shared" si="167"/>
        <v>#DIV/0!</v>
      </c>
      <c r="DO165" s="68" t="e">
        <f t="shared" si="168"/>
        <v>#DIV/0!</v>
      </c>
      <c r="DP165" s="68" t="e">
        <f t="shared" si="169"/>
        <v>#DIV/0!</v>
      </c>
      <c r="DQ165" s="68" t="e">
        <f t="shared" si="170"/>
        <v>#DIV/0!</v>
      </c>
      <c r="DR165" s="68" t="e">
        <f t="shared" si="171"/>
        <v>#DIV/0!</v>
      </c>
      <c r="DS165" s="68" t="e">
        <f t="shared" si="172"/>
        <v>#DIV/0!</v>
      </c>
      <c r="DT165" s="68" t="e">
        <f t="shared" si="173"/>
        <v>#DIV/0!</v>
      </c>
      <c r="DU165" s="68" t="e">
        <f t="shared" si="200"/>
        <v>#DIV/0!</v>
      </c>
      <c r="DV165" s="68" t="e">
        <f t="shared" si="174"/>
        <v>#DIV/0!</v>
      </c>
      <c r="DW165" s="68" t="e">
        <f t="shared" si="201"/>
        <v>#DIV/0!</v>
      </c>
      <c r="DX165" s="68">
        <f t="shared" si="175"/>
        <v>26.05841667</v>
      </c>
      <c r="DY165" s="68">
        <f t="shared" si="176"/>
        <v>80.134330559999995</v>
      </c>
      <c r="DZ165" s="68" t="e">
        <f t="shared" si="177"/>
        <v>#DIV/0!</v>
      </c>
      <c r="EA165" s="68" t="e">
        <f t="shared" si="178"/>
        <v>#DIV/0!</v>
      </c>
      <c r="EB165" s="68" t="e">
        <f t="shared" si="179"/>
        <v>#DIV/0!</v>
      </c>
      <c r="EC165" s="68" t="e">
        <f t="shared" si="180"/>
        <v>#DIV/0!</v>
      </c>
      <c r="ED165" s="68" t="e">
        <f t="shared" si="181"/>
        <v>#DIV/0!</v>
      </c>
      <c r="EE165" s="68" t="e">
        <f t="shared" si="182"/>
        <v>#DIV/0!</v>
      </c>
      <c r="EF165" s="68" t="e">
        <f t="shared" si="183"/>
        <v>#DIV/0!</v>
      </c>
      <c r="EG165" s="68" t="e">
        <f t="shared" si="184"/>
        <v>#DIV/0!</v>
      </c>
      <c r="EH165" s="68" t="e">
        <f t="shared" si="202"/>
        <v>#DIV/0!</v>
      </c>
      <c r="EI165" s="68" t="e">
        <f t="shared" si="185"/>
        <v>#DIV/0!</v>
      </c>
      <c r="EJ165" s="68" t="e">
        <f t="shared" si="186"/>
        <v>#DIV/0!</v>
      </c>
      <c r="EK165" s="68" t="e">
        <f t="shared" si="187"/>
        <v>#DIV/0!</v>
      </c>
      <c r="EL165" s="68" t="e">
        <f t="shared" si="188"/>
        <v>#DIV/0!</v>
      </c>
      <c r="EM165" s="68" t="e">
        <f t="shared" si="189"/>
        <v>#DIV/0!</v>
      </c>
      <c r="EN165" s="68" t="e">
        <f t="shared" si="190"/>
        <v>#DIV/0!</v>
      </c>
      <c r="EO165" s="68" t="e">
        <f t="shared" si="191"/>
        <v>#DIV/0!</v>
      </c>
      <c r="EP165" s="68" t="e">
        <f t="shared" si="192"/>
        <v>#DIV/0!</v>
      </c>
      <c r="EQ165" s="68" t="e">
        <f t="shared" si="193"/>
        <v>#DIV/0!</v>
      </c>
      <c r="ER165" s="68" t="e">
        <f t="shared" si="203"/>
        <v>#DIV/0!</v>
      </c>
    </row>
    <row r="166" spans="82:148" x14ac:dyDescent="0.25">
      <c r="CD166" s="68" t="s">
        <v>689</v>
      </c>
      <c r="CE166" s="69">
        <f t="shared" si="196"/>
        <v>260330.3</v>
      </c>
      <c r="CF166" s="69">
        <f t="shared" si="197"/>
        <v>800803.59</v>
      </c>
      <c r="CG166" s="70">
        <f t="shared" si="205"/>
        <v>0</v>
      </c>
      <c r="CH166" s="69">
        <f t="shared" si="206"/>
        <v>260330.30001199999</v>
      </c>
      <c r="CI166" s="69">
        <f t="shared" si="207"/>
        <v>800803.59001599997</v>
      </c>
      <c r="CJ166" s="68">
        <f t="shared" si="139"/>
        <v>26.05841667</v>
      </c>
      <c r="CK166" s="68">
        <f t="shared" si="140"/>
        <v>80.134330559999995</v>
      </c>
      <c r="CL166" s="68">
        <f t="shared" si="141"/>
        <v>26.05841667</v>
      </c>
      <c r="CM166" s="68">
        <f t="shared" si="142"/>
        <v>80.134330559999995</v>
      </c>
      <c r="CN166" s="68">
        <f t="shared" si="143"/>
        <v>0</v>
      </c>
      <c r="CO166" s="68">
        <f t="shared" si="144"/>
        <v>0</v>
      </c>
      <c r="CP166" s="68">
        <f t="shared" si="145"/>
        <v>0.43928729614546391</v>
      </c>
      <c r="CQ166" s="68">
        <f t="shared" si="146"/>
        <v>1.0027157713556663</v>
      </c>
      <c r="CR166" s="68">
        <f t="shared" si="147"/>
        <v>0</v>
      </c>
      <c r="CS166" s="68">
        <f t="shared" si="148"/>
        <v>0.48899531699999998</v>
      </c>
      <c r="CT166" s="68">
        <f t="shared" si="198"/>
        <v>0.23911642</v>
      </c>
      <c r="CU166" s="68">
        <f t="shared" si="149"/>
        <v>0</v>
      </c>
      <c r="CV166" s="68">
        <f t="shared" si="150"/>
        <v>0</v>
      </c>
      <c r="CW166" s="68">
        <f t="shared" si="151"/>
        <v>0</v>
      </c>
      <c r="CX166" s="68">
        <f t="shared" si="152"/>
        <v>0</v>
      </c>
      <c r="CY166" s="68">
        <f t="shared" si="153"/>
        <v>0</v>
      </c>
      <c r="CZ166" s="68" t="e">
        <f t="shared" si="154"/>
        <v>#DIV/0!</v>
      </c>
      <c r="DA166" s="68" t="e">
        <f t="shared" si="155"/>
        <v>#DIV/0!</v>
      </c>
      <c r="DB166" s="68" t="e">
        <f t="shared" si="156"/>
        <v>#DIV/0!</v>
      </c>
      <c r="DC166" s="68" t="e">
        <f t="shared" si="157"/>
        <v>#DIV/0!</v>
      </c>
      <c r="DD166" s="68" t="e">
        <f t="shared" si="158"/>
        <v>#DIV/0!</v>
      </c>
      <c r="DE166" s="68" t="e">
        <f t="shared" si="159"/>
        <v>#DIV/0!</v>
      </c>
      <c r="DF166" s="68" t="e">
        <f t="shared" si="199"/>
        <v>#DIV/0!</v>
      </c>
      <c r="DG166" s="68">
        <f t="shared" si="160"/>
        <v>0.45480516874807669</v>
      </c>
      <c r="DH166" s="68">
        <f t="shared" si="161"/>
        <v>1.3986079121535113</v>
      </c>
      <c r="DI166" s="68">
        <f t="shared" si="162"/>
        <v>0</v>
      </c>
      <c r="DJ166" s="68" t="e">
        <f t="shared" si="163"/>
        <v>#DIV/0!</v>
      </c>
      <c r="DK166" s="68" t="e">
        <f t="shared" si="164"/>
        <v>#DIV/0!</v>
      </c>
      <c r="DL166" s="68" t="e">
        <f t="shared" si="165"/>
        <v>#DIV/0!</v>
      </c>
      <c r="DM166" s="68" t="e">
        <f t="shared" si="166"/>
        <v>#DIV/0!</v>
      </c>
      <c r="DN166" s="68" t="e">
        <f t="shared" si="167"/>
        <v>#DIV/0!</v>
      </c>
      <c r="DO166" s="68" t="e">
        <f t="shared" si="168"/>
        <v>#DIV/0!</v>
      </c>
      <c r="DP166" s="68" t="e">
        <f t="shared" si="169"/>
        <v>#DIV/0!</v>
      </c>
      <c r="DQ166" s="68" t="e">
        <f t="shared" si="170"/>
        <v>#DIV/0!</v>
      </c>
      <c r="DR166" s="68" t="e">
        <f t="shared" si="171"/>
        <v>#DIV/0!</v>
      </c>
      <c r="DS166" s="68" t="e">
        <f t="shared" si="172"/>
        <v>#DIV/0!</v>
      </c>
      <c r="DT166" s="68" t="e">
        <f t="shared" si="173"/>
        <v>#DIV/0!</v>
      </c>
      <c r="DU166" s="68" t="e">
        <f t="shared" si="200"/>
        <v>#DIV/0!</v>
      </c>
      <c r="DV166" s="68" t="e">
        <f t="shared" si="174"/>
        <v>#DIV/0!</v>
      </c>
      <c r="DW166" s="68" t="e">
        <f t="shared" si="201"/>
        <v>#DIV/0!</v>
      </c>
      <c r="DX166" s="68">
        <f t="shared" si="175"/>
        <v>26.05841667</v>
      </c>
      <c r="DY166" s="68">
        <f t="shared" si="176"/>
        <v>80.134330559999995</v>
      </c>
      <c r="DZ166" s="68" t="e">
        <f t="shared" si="177"/>
        <v>#DIV/0!</v>
      </c>
      <c r="EA166" s="68" t="e">
        <f t="shared" si="178"/>
        <v>#DIV/0!</v>
      </c>
      <c r="EB166" s="68" t="e">
        <f t="shared" si="179"/>
        <v>#DIV/0!</v>
      </c>
      <c r="EC166" s="68" t="e">
        <f t="shared" si="180"/>
        <v>#DIV/0!</v>
      </c>
      <c r="ED166" s="68" t="e">
        <f t="shared" si="181"/>
        <v>#DIV/0!</v>
      </c>
      <c r="EE166" s="68" t="e">
        <f t="shared" si="182"/>
        <v>#DIV/0!</v>
      </c>
      <c r="EF166" s="68" t="e">
        <f t="shared" si="183"/>
        <v>#DIV/0!</v>
      </c>
      <c r="EG166" s="68" t="e">
        <f t="shared" si="184"/>
        <v>#DIV/0!</v>
      </c>
      <c r="EH166" s="68" t="e">
        <f t="shared" si="202"/>
        <v>#DIV/0!</v>
      </c>
      <c r="EI166" s="68" t="e">
        <f t="shared" si="185"/>
        <v>#DIV/0!</v>
      </c>
      <c r="EJ166" s="68" t="e">
        <f t="shared" si="186"/>
        <v>#DIV/0!</v>
      </c>
      <c r="EK166" s="68" t="e">
        <f t="shared" si="187"/>
        <v>#DIV/0!</v>
      </c>
      <c r="EL166" s="68" t="e">
        <f t="shared" si="188"/>
        <v>#DIV/0!</v>
      </c>
      <c r="EM166" s="68" t="e">
        <f t="shared" si="189"/>
        <v>#DIV/0!</v>
      </c>
      <c r="EN166" s="68" t="e">
        <f t="shared" si="190"/>
        <v>#DIV/0!</v>
      </c>
      <c r="EO166" s="68" t="e">
        <f t="shared" si="191"/>
        <v>#DIV/0!</v>
      </c>
      <c r="EP166" s="68" t="e">
        <f t="shared" si="192"/>
        <v>#DIV/0!</v>
      </c>
      <c r="EQ166" s="68" t="e">
        <f t="shared" si="193"/>
        <v>#DIV/0!</v>
      </c>
      <c r="ER166" s="68" t="e">
        <f t="shared" si="203"/>
        <v>#DIV/0!</v>
      </c>
    </row>
    <row r="167" spans="82:148" x14ac:dyDescent="0.25">
      <c r="CD167" s="68" t="s">
        <v>690</v>
      </c>
      <c r="CE167" s="69">
        <f t="shared" si="196"/>
        <v>260330.3</v>
      </c>
      <c r="CF167" s="69">
        <f t="shared" si="197"/>
        <v>800803.59</v>
      </c>
      <c r="CG167" s="70">
        <f t="shared" si="205"/>
        <v>0</v>
      </c>
      <c r="CH167" s="69">
        <f t="shared" si="206"/>
        <v>260330.30001199999</v>
      </c>
      <c r="CI167" s="69">
        <f t="shared" si="207"/>
        <v>800803.59001599997</v>
      </c>
      <c r="CJ167" s="68">
        <f t="shared" si="139"/>
        <v>26.05841667</v>
      </c>
      <c r="CK167" s="68">
        <f t="shared" si="140"/>
        <v>80.134330559999995</v>
      </c>
      <c r="CL167" s="68">
        <f t="shared" si="141"/>
        <v>26.05841667</v>
      </c>
      <c r="CM167" s="68">
        <f t="shared" si="142"/>
        <v>80.134330559999995</v>
      </c>
      <c r="CN167" s="68">
        <f t="shared" si="143"/>
        <v>0</v>
      </c>
      <c r="CO167" s="68">
        <f t="shared" si="144"/>
        <v>0</v>
      </c>
      <c r="CP167" s="68">
        <f t="shared" si="145"/>
        <v>0.43928729614546391</v>
      </c>
      <c r="CQ167" s="68">
        <f t="shared" si="146"/>
        <v>1.0027157713556663</v>
      </c>
      <c r="CR167" s="68">
        <f t="shared" si="147"/>
        <v>0</v>
      </c>
      <c r="CS167" s="68">
        <f t="shared" si="148"/>
        <v>0.48899531699999998</v>
      </c>
      <c r="CT167" s="68">
        <f t="shared" si="198"/>
        <v>0.23911642</v>
      </c>
      <c r="CU167" s="68">
        <f t="shared" si="149"/>
        <v>0</v>
      </c>
      <c r="CV167" s="68">
        <f t="shared" si="150"/>
        <v>0</v>
      </c>
      <c r="CW167" s="68">
        <f t="shared" si="151"/>
        <v>0</v>
      </c>
      <c r="CX167" s="68">
        <f t="shared" si="152"/>
        <v>0</v>
      </c>
      <c r="CY167" s="68">
        <f t="shared" si="153"/>
        <v>0</v>
      </c>
      <c r="CZ167" s="68" t="e">
        <f t="shared" si="154"/>
        <v>#DIV/0!</v>
      </c>
      <c r="DA167" s="68" t="e">
        <f t="shared" si="155"/>
        <v>#DIV/0!</v>
      </c>
      <c r="DB167" s="68" t="e">
        <f t="shared" si="156"/>
        <v>#DIV/0!</v>
      </c>
      <c r="DC167" s="68" t="e">
        <f t="shared" si="157"/>
        <v>#DIV/0!</v>
      </c>
      <c r="DD167" s="68" t="e">
        <f t="shared" si="158"/>
        <v>#DIV/0!</v>
      </c>
      <c r="DE167" s="68" t="e">
        <f t="shared" si="159"/>
        <v>#DIV/0!</v>
      </c>
      <c r="DF167" s="68" t="e">
        <f t="shared" si="199"/>
        <v>#DIV/0!</v>
      </c>
      <c r="DG167" s="68">
        <f t="shared" si="160"/>
        <v>0.45480516874807669</v>
      </c>
      <c r="DH167" s="68">
        <f t="shared" si="161"/>
        <v>1.3986079121535113</v>
      </c>
      <c r="DI167" s="68">
        <f t="shared" si="162"/>
        <v>0</v>
      </c>
      <c r="DJ167" s="68" t="e">
        <f t="shared" si="163"/>
        <v>#DIV/0!</v>
      </c>
      <c r="DK167" s="68" t="e">
        <f t="shared" si="164"/>
        <v>#DIV/0!</v>
      </c>
      <c r="DL167" s="68" t="e">
        <f t="shared" si="165"/>
        <v>#DIV/0!</v>
      </c>
      <c r="DM167" s="68" t="e">
        <f t="shared" si="166"/>
        <v>#DIV/0!</v>
      </c>
      <c r="DN167" s="68" t="e">
        <f t="shared" si="167"/>
        <v>#DIV/0!</v>
      </c>
      <c r="DO167" s="68" t="e">
        <f t="shared" si="168"/>
        <v>#DIV/0!</v>
      </c>
      <c r="DP167" s="68" t="e">
        <f t="shared" si="169"/>
        <v>#DIV/0!</v>
      </c>
      <c r="DQ167" s="68" t="e">
        <f t="shared" si="170"/>
        <v>#DIV/0!</v>
      </c>
      <c r="DR167" s="68" t="e">
        <f t="shared" si="171"/>
        <v>#DIV/0!</v>
      </c>
      <c r="DS167" s="68" t="e">
        <f t="shared" si="172"/>
        <v>#DIV/0!</v>
      </c>
      <c r="DT167" s="68" t="e">
        <f t="shared" si="173"/>
        <v>#DIV/0!</v>
      </c>
      <c r="DU167" s="68" t="e">
        <f t="shared" si="200"/>
        <v>#DIV/0!</v>
      </c>
      <c r="DV167" s="68" t="e">
        <f t="shared" si="174"/>
        <v>#DIV/0!</v>
      </c>
      <c r="DW167" s="68" t="e">
        <f t="shared" si="201"/>
        <v>#DIV/0!</v>
      </c>
      <c r="DX167" s="68">
        <f t="shared" si="175"/>
        <v>26.05841667</v>
      </c>
      <c r="DY167" s="68">
        <f t="shared" si="176"/>
        <v>80.134330559999995</v>
      </c>
      <c r="DZ167" s="68" t="e">
        <f t="shared" si="177"/>
        <v>#DIV/0!</v>
      </c>
      <c r="EA167" s="68" t="e">
        <f t="shared" si="178"/>
        <v>#DIV/0!</v>
      </c>
      <c r="EB167" s="68" t="e">
        <f t="shared" si="179"/>
        <v>#DIV/0!</v>
      </c>
      <c r="EC167" s="68" t="e">
        <f t="shared" si="180"/>
        <v>#DIV/0!</v>
      </c>
      <c r="ED167" s="68" t="e">
        <f t="shared" si="181"/>
        <v>#DIV/0!</v>
      </c>
      <c r="EE167" s="68" t="e">
        <f t="shared" si="182"/>
        <v>#DIV/0!</v>
      </c>
      <c r="EF167" s="68" t="e">
        <f t="shared" si="183"/>
        <v>#DIV/0!</v>
      </c>
      <c r="EG167" s="68" t="e">
        <f t="shared" si="184"/>
        <v>#DIV/0!</v>
      </c>
      <c r="EH167" s="68" t="e">
        <f t="shared" si="202"/>
        <v>#DIV/0!</v>
      </c>
      <c r="EI167" s="68" t="e">
        <f t="shared" si="185"/>
        <v>#DIV/0!</v>
      </c>
      <c r="EJ167" s="68" t="e">
        <f t="shared" si="186"/>
        <v>#DIV/0!</v>
      </c>
      <c r="EK167" s="68" t="e">
        <f t="shared" si="187"/>
        <v>#DIV/0!</v>
      </c>
      <c r="EL167" s="68" t="e">
        <f t="shared" si="188"/>
        <v>#DIV/0!</v>
      </c>
      <c r="EM167" s="68" t="e">
        <f t="shared" si="189"/>
        <v>#DIV/0!</v>
      </c>
      <c r="EN167" s="68" t="e">
        <f t="shared" si="190"/>
        <v>#DIV/0!</v>
      </c>
      <c r="EO167" s="68" t="e">
        <f t="shared" si="191"/>
        <v>#DIV/0!</v>
      </c>
      <c r="EP167" s="68" t="e">
        <f t="shared" si="192"/>
        <v>#DIV/0!</v>
      </c>
      <c r="EQ167" s="68" t="e">
        <f t="shared" si="193"/>
        <v>#DIV/0!</v>
      </c>
      <c r="ER167" s="68" t="e">
        <f t="shared" si="203"/>
        <v>#DIV/0!</v>
      </c>
    </row>
    <row r="168" spans="82:148" x14ac:dyDescent="0.25">
      <c r="CD168" s="68" t="s">
        <v>691</v>
      </c>
      <c r="CE168" s="69">
        <f t="shared" si="196"/>
        <v>260330.3</v>
      </c>
      <c r="CF168" s="69">
        <f t="shared" si="197"/>
        <v>800803.59</v>
      </c>
      <c r="CG168" s="70">
        <f t="shared" si="205"/>
        <v>0</v>
      </c>
      <c r="CH168" s="69">
        <f t="shared" si="206"/>
        <v>260330.30001199999</v>
      </c>
      <c r="CI168" s="69">
        <f t="shared" si="207"/>
        <v>800803.59001599997</v>
      </c>
      <c r="CJ168" s="68">
        <f t="shared" si="139"/>
        <v>26.05841667</v>
      </c>
      <c r="CK168" s="68">
        <f t="shared" si="140"/>
        <v>80.134330559999995</v>
      </c>
      <c r="CL168" s="68">
        <f t="shared" si="141"/>
        <v>26.05841667</v>
      </c>
      <c r="CM168" s="68">
        <f t="shared" si="142"/>
        <v>80.134330559999995</v>
      </c>
      <c r="CN168" s="68">
        <f t="shared" si="143"/>
        <v>0</v>
      </c>
      <c r="CO168" s="68">
        <f t="shared" si="144"/>
        <v>0</v>
      </c>
      <c r="CP168" s="68">
        <f t="shared" si="145"/>
        <v>0.43928729614546391</v>
      </c>
      <c r="CQ168" s="68">
        <f t="shared" si="146"/>
        <v>1.0027157713556663</v>
      </c>
      <c r="CR168" s="68">
        <f t="shared" si="147"/>
        <v>0</v>
      </c>
      <c r="CS168" s="68">
        <f t="shared" si="148"/>
        <v>0.48899531699999998</v>
      </c>
      <c r="CT168" s="68">
        <f t="shared" si="198"/>
        <v>0.23911642</v>
      </c>
      <c r="CU168" s="68">
        <f t="shared" si="149"/>
        <v>0</v>
      </c>
      <c r="CV168" s="68">
        <f t="shared" si="150"/>
        <v>0</v>
      </c>
      <c r="CW168" s="68">
        <f t="shared" si="151"/>
        <v>0</v>
      </c>
      <c r="CX168" s="68">
        <f t="shared" si="152"/>
        <v>0</v>
      </c>
      <c r="CY168" s="68">
        <f t="shared" si="153"/>
        <v>0</v>
      </c>
      <c r="CZ168" s="68" t="e">
        <f t="shared" si="154"/>
        <v>#DIV/0!</v>
      </c>
      <c r="DA168" s="68" t="e">
        <f t="shared" si="155"/>
        <v>#DIV/0!</v>
      </c>
      <c r="DB168" s="68" t="e">
        <f t="shared" si="156"/>
        <v>#DIV/0!</v>
      </c>
      <c r="DC168" s="68" t="e">
        <f t="shared" si="157"/>
        <v>#DIV/0!</v>
      </c>
      <c r="DD168" s="68" t="e">
        <f t="shared" si="158"/>
        <v>#DIV/0!</v>
      </c>
      <c r="DE168" s="68" t="e">
        <f t="shared" si="159"/>
        <v>#DIV/0!</v>
      </c>
      <c r="DF168" s="68" t="e">
        <f t="shared" si="199"/>
        <v>#DIV/0!</v>
      </c>
      <c r="DG168" s="68">
        <f t="shared" si="160"/>
        <v>0.45480516874807669</v>
      </c>
      <c r="DH168" s="68">
        <f t="shared" si="161"/>
        <v>1.3986079121535113</v>
      </c>
      <c r="DI168" s="68">
        <f t="shared" si="162"/>
        <v>0</v>
      </c>
      <c r="DJ168" s="68" t="e">
        <f t="shared" si="163"/>
        <v>#DIV/0!</v>
      </c>
      <c r="DK168" s="68" t="e">
        <f t="shared" si="164"/>
        <v>#DIV/0!</v>
      </c>
      <c r="DL168" s="68" t="e">
        <f t="shared" si="165"/>
        <v>#DIV/0!</v>
      </c>
      <c r="DM168" s="68" t="e">
        <f t="shared" si="166"/>
        <v>#DIV/0!</v>
      </c>
      <c r="DN168" s="68" t="e">
        <f t="shared" si="167"/>
        <v>#DIV/0!</v>
      </c>
      <c r="DO168" s="68" t="e">
        <f t="shared" si="168"/>
        <v>#DIV/0!</v>
      </c>
      <c r="DP168" s="68" t="e">
        <f t="shared" si="169"/>
        <v>#DIV/0!</v>
      </c>
      <c r="DQ168" s="68" t="e">
        <f t="shared" si="170"/>
        <v>#DIV/0!</v>
      </c>
      <c r="DR168" s="68" t="e">
        <f t="shared" si="171"/>
        <v>#DIV/0!</v>
      </c>
      <c r="DS168" s="68" t="e">
        <f t="shared" si="172"/>
        <v>#DIV/0!</v>
      </c>
      <c r="DT168" s="68" t="e">
        <f t="shared" si="173"/>
        <v>#DIV/0!</v>
      </c>
      <c r="DU168" s="68" t="e">
        <f t="shared" si="200"/>
        <v>#DIV/0!</v>
      </c>
      <c r="DV168" s="68" t="e">
        <f t="shared" si="174"/>
        <v>#DIV/0!</v>
      </c>
      <c r="DW168" s="68" t="e">
        <f t="shared" si="201"/>
        <v>#DIV/0!</v>
      </c>
      <c r="DX168" s="68">
        <f t="shared" si="175"/>
        <v>26.05841667</v>
      </c>
      <c r="DY168" s="68">
        <f t="shared" si="176"/>
        <v>80.134330559999995</v>
      </c>
      <c r="DZ168" s="68" t="e">
        <f t="shared" si="177"/>
        <v>#DIV/0!</v>
      </c>
      <c r="EA168" s="68" t="e">
        <f t="shared" si="178"/>
        <v>#DIV/0!</v>
      </c>
      <c r="EB168" s="68" t="e">
        <f t="shared" si="179"/>
        <v>#DIV/0!</v>
      </c>
      <c r="EC168" s="68" t="e">
        <f t="shared" si="180"/>
        <v>#DIV/0!</v>
      </c>
      <c r="ED168" s="68" t="e">
        <f t="shared" si="181"/>
        <v>#DIV/0!</v>
      </c>
      <c r="EE168" s="68" t="e">
        <f t="shared" si="182"/>
        <v>#DIV/0!</v>
      </c>
      <c r="EF168" s="68" t="e">
        <f t="shared" si="183"/>
        <v>#DIV/0!</v>
      </c>
      <c r="EG168" s="68" t="e">
        <f t="shared" si="184"/>
        <v>#DIV/0!</v>
      </c>
      <c r="EH168" s="68" t="e">
        <f t="shared" si="202"/>
        <v>#DIV/0!</v>
      </c>
      <c r="EI168" s="68" t="e">
        <f t="shared" si="185"/>
        <v>#DIV/0!</v>
      </c>
      <c r="EJ168" s="68" t="e">
        <f t="shared" si="186"/>
        <v>#DIV/0!</v>
      </c>
      <c r="EK168" s="68" t="e">
        <f t="shared" si="187"/>
        <v>#DIV/0!</v>
      </c>
      <c r="EL168" s="68" t="e">
        <f t="shared" si="188"/>
        <v>#DIV/0!</v>
      </c>
      <c r="EM168" s="68" t="e">
        <f t="shared" si="189"/>
        <v>#DIV/0!</v>
      </c>
      <c r="EN168" s="68" t="e">
        <f t="shared" si="190"/>
        <v>#DIV/0!</v>
      </c>
      <c r="EO168" s="68" t="e">
        <f t="shared" si="191"/>
        <v>#DIV/0!</v>
      </c>
      <c r="EP168" s="68" t="e">
        <f t="shared" si="192"/>
        <v>#DIV/0!</v>
      </c>
      <c r="EQ168" s="68" t="e">
        <f t="shared" si="193"/>
        <v>#DIV/0!</v>
      </c>
      <c r="ER168" s="68" t="e">
        <f t="shared" si="203"/>
        <v>#DIV/0!</v>
      </c>
    </row>
    <row r="169" spans="82:148" x14ac:dyDescent="0.25">
      <c r="CD169" s="68" t="s">
        <v>692</v>
      </c>
      <c r="CE169" s="69">
        <f t="shared" si="196"/>
        <v>260330.3</v>
      </c>
      <c r="CF169" s="69">
        <f t="shared" si="197"/>
        <v>800803.59</v>
      </c>
      <c r="CG169" s="70">
        <f t="shared" si="205"/>
        <v>0</v>
      </c>
      <c r="CH169" s="69">
        <f t="shared" si="206"/>
        <v>260330.30001199999</v>
      </c>
      <c r="CI169" s="69">
        <f t="shared" si="207"/>
        <v>800803.59001599997</v>
      </c>
      <c r="CJ169" s="68">
        <f t="shared" si="139"/>
        <v>26.05841667</v>
      </c>
      <c r="CK169" s="68">
        <f t="shared" si="140"/>
        <v>80.134330559999995</v>
      </c>
      <c r="CL169" s="68">
        <f t="shared" si="141"/>
        <v>26.05841667</v>
      </c>
      <c r="CM169" s="68">
        <f t="shared" si="142"/>
        <v>80.134330559999995</v>
      </c>
      <c r="CN169" s="68">
        <f t="shared" si="143"/>
        <v>0</v>
      </c>
      <c r="CO169" s="68">
        <f t="shared" si="144"/>
        <v>0</v>
      </c>
      <c r="CP169" s="68">
        <f t="shared" si="145"/>
        <v>0.43928729614546391</v>
      </c>
      <c r="CQ169" s="68">
        <f t="shared" si="146"/>
        <v>1.0027157713556663</v>
      </c>
      <c r="CR169" s="68">
        <f t="shared" si="147"/>
        <v>0</v>
      </c>
      <c r="CS169" s="68">
        <f t="shared" si="148"/>
        <v>0.48899531699999998</v>
      </c>
      <c r="CT169" s="68">
        <f t="shared" si="198"/>
        <v>0.23911642</v>
      </c>
      <c r="CU169" s="68">
        <f t="shared" si="149"/>
        <v>0</v>
      </c>
      <c r="CV169" s="68">
        <f t="shared" si="150"/>
        <v>0</v>
      </c>
      <c r="CW169" s="68">
        <f t="shared" si="151"/>
        <v>0</v>
      </c>
      <c r="CX169" s="68">
        <f t="shared" si="152"/>
        <v>0</v>
      </c>
      <c r="CY169" s="68">
        <f t="shared" si="153"/>
        <v>0</v>
      </c>
      <c r="CZ169" s="68" t="e">
        <f t="shared" si="154"/>
        <v>#DIV/0!</v>
      </c>
      <c r="DA169" s="68" t="e">
        <f t="shared" si="155"/>
        <v>#DIV/0!</v>
      </c>
      <c r="DB169" s="68" t="e">
        <f t="shared" si="156"/>
        <v>#DIV/0!</v>
      </c>
      <c r="DC169" s="68" t="e">
        <f t="shared" si="157"/>
        <v>#DIV/0!</v>
      </c>
      <c r="DD169" s="68" t="e">
        <f t="shared" si="158"/>
        <v>#DIV/0!</v>
      </c>
      <c r="DE169" s="68" t="e">
        <f t="shared" si="159"/>
        <v>#DIV/0!</v>
      </c>
      <c r="DF169" s="68" t="e">
        <f t="shared" si="199"/>
        <v>#DIV/0!</v>
      </c>
      <c r="DG169" s="68">
        <f t="shared" si="160"/>
        <v>0.45480516874807669</v>
      </c>
      <c r="DH169" s="68">
        <f t="shared" si="161"/>
        <v>1.3986079121535113</v>
      </c>
      <c r="DI169" s="68">
        <f t="shared" si="162"/>
        <v>0</v>
      </c>
      <c r="DJ169" s="68" t="e">
        <f t="shared" si="163"/>
        <v>#DIV/0!</v>
      </c>
      <c r="DK169" s="68" t="e">
        <f t="shared" si="164"/>
        <v>#DIV/0!</v>
      </c>
      <c r="DL169" s="68" t="e">
        <f t="shared" si="165"/>
        <v>#DIV/0!</v>
      </c>
      <c r="DM169" s="68" t="e">
        <f t="shared" si="166"/>
        <v>#DIV/0!</v>
      </c>
      <c r="DN169" s="68" t="e">
        <f t="shared" si="167"/>
        <v>#DIV/0!</v>
      </c>
      <c r="DO169" s="68" t="e">
        <f t="shared" si="168"/>
        <v>#DIV/0!</v>
      </c>
      <c r="DP169" s="68" t="e">
        <f t="shared" si="169"/>
        <v>#DIV/0!</v>
      </c>
      <c r="DQ169" s="68" t="e">
        <f t="shared" si="170"/>
        <v>#DIV/0!</v>
      </c>
      <c r="DR169" s="68" t="e">
        <f t="shared" si="171"/>
        <v>#DIV/0!</v>
      </c>
      <c r="DS169" s="68" t="e">
        <f t="shared" si="172"/>
        <v>#DIV/0!</v>
      </c>
      <c r="DT169" s="68" t="e">
        <f t="shared" si="173"/>
        <v>#DIV/0!</v>
      </c>
      <c r="DU169" s="68" t="e">
        <f t="shared" si="200"/>
        <v>#DIV/0!</v>
      </c>
      <c r="DV169" s="68" t="e">
        <f t="shared" si="174"/>
        <v>#DIV/0!</v>
      </c>
      <c r="DW169" s="68" t="e">
        <f t="shared" si="201"/>
        <v>#DIV/0!</v>
      </c>
      <c r="DX169" s="68">
        <f t="shared" si="175"/>
        <v>26.05841667</v>
      </c>
      <c r="DY169" s="68">
        <f t="shared" si="176"/>
        <v>80.134330559999995</v>
      </c>
      <c r="DZ169" s="68" t="e">
        <f t="shared" si="177"/>
        <v>#DIV/0!</v>
      </c>
      <c r="EA169" s="68" t="e">
        <f t="shared" si="178"/>
        <v>#DIV/0!</v>
      </c>
      <c r="EB169" s="68" t="e">
        <f t="shared" si="179"/>
        <v>#DIV/0!</v>
      </c>
      <c r="EC169" s="68" t="e">
        <f t="shared" si="180"/>
        <v>#DIV/0!</v>
      </c>
      <c r="ED169" s="68" t="e">
        <f t="shared" si="181"/>
        <v>#DIV/0!</v>
      </c>
      <c r="EE169" s="68" t="e">
        <f t="shared" si="182"/>
        <v>#DIV/0!</v>
      </c>
      <c r="EF169" s="68" t="e">
        <f t="shared" si="183"/>
        <v>#DIV/0!</v>
      </c>
      <c r="EG169" s="68" t="e">
        <f t="shared" si="184"/>
        <v>#DIV/0!</v>
      </c>
      <c r="EH169" s="68" t="e">
        <f t="shared" si="202"/>
        <v>#DIV/0!</v>
      </c>
      <c r="EI169" s="68" t="e">
        <f t="shared" si="185"/>
        <v>#DIV/0!</v>
      </c>
      <c r="EJ169" s="68" t="e">
        <f t="shared" si="186"/>
        <v>#DIV/0!</v>
      </c>
      <c r="EK169" s="68" t="e">
        <f t="shared" si="187"/>
        <v>#DIV/0!</v>
      </c>
      <c r="EL169" s="68" t="e">
        <f t="shared" si="188"/>
        <v>#DIV/0!</v>
      </c>
      <c r="EM169" s="68" t="e">
        <f t="shared" si="189"/>
        <v>#DIV/0!</v>
      </c>
      <c r="EN169" s="68" t="e">
        <f t="shared" si="190"/>
        <v>#DIV/0!</v>
      </c>
      <c r="EO169" s="68" t="e">
        <f t="shared" si="191"/>
        <v>#DIV/0!</v>
      </c>
      <c r="EP169" s="68" t="e">
        <f t="shared" si="192"/>
        <v>#DIV/0!</v>
      </c>
      <c r="EQ169" s="68" t="e">
        <f t="shared" si="193"/>
        <v>#DIV/0!</v>
      </c>
      <c r="ER169" s="68" t="e">
        <f t="shared" si="203"/>
        <v>#DIV/0!</v>
      </c>
    </row>
    <row r="170" spans="82:148" x14ac:dyDescent="0.25">
      <c r="CD170" s="68" t="s">
        <v>693</v>
      </c>
      <c r="CE170" s="69">
        <f t="shared" si="196"/>
        <v>260330.3</v>
      </c>
      <c r="CF170" s="69">
        <f t="shared" si="197"/>
        <v>800803.59</v>
      </c>
      <c r="CG170" s="70">
        <f t="shared" si="205"/>
        <v>0</v>
      </c>
      <c r="CH170" s="69">
        <f t="shared" si="206"/>
        <v>260330.30001199999</v>
      </c>
      <c r="CI170" s="69">
        <f t="shared" si="207"/>
        <v>800803.59001599997</v>
      </c>
      <c r="CJ170" s="68">
        <f t="shared" si="139"/>
        <v>26.05841667</v>
      </c>
      <c r="CK170" s="68">
        <f t="shared" si="140"/>
        <v>80.134330559999995</v>
      </c>
      <c r="CL170" s="68">
        <f t="shared" si="141"/>
        <v>26.05841667</v>
      </c>
      <c r="CM170" s="68">
        <f t="shared" si="142"/>
        <v>80.134330559999995</v>
      </c>
      <c r="CN170" s="68">
        <f t="shared" si="143"/>
        <v>0</v>
      </c>
      <c r="CO170" s="68">
        <f t="shared" si="144"/>
        <v>0</v>
      </c>
      <c r="CP170" s="68">
        <f t="shared" si="145"/>
        <v>0.43928729614546391</v>
      </c>
      <c r="CQ170" s="68">
        <f t="shared" si="146"/>
        <v>1.0027157713556663</v>
      </c>
      <c r="CR170" s="68">
        <f t="shared" si="147"/>
        <v>0</v>
      </c>
      <c r="CS170" s="68">
        <f t="shared" si="148"/>
        <v>0.48899531699999998</v>
      </c>
      <c r="CT170" s="68">
        <f t="shared" si="198"/>
        <v>0.23911642</v>
      </c>
      <c r="CU170" s="68">
        <f t="shared" si="149"/>
        <v>0</v>
      </c>
      <c r="CV170" s="68">
        <f t="shared" si="150"/>
        <v>0</v>
      </c>
      <c r="CW170" s="68">
        <f t="shared" si="151"/>
        <v>0</v>
      </c>
      <c r="CX170" s="68">
        <f t="shared" si="152"/>
        <v>0</v>
      </c>
      <c r="CY170" s="68">
        <f t="shared" si="153"/>
        <v>0</v>
      </c>
      <c r="CZ170" s="68" t="e">
        <f t="shared" si="154"/>
        <v>#DIV/0!</v>
      </c>
      <c r="DA170" s="68" t="e">
        <f t="shared" si="155"/>
        <v>#DIV/0!</v>
      </c>
      <c r="DB170" s="68" t="e">
        <f t="shared" si="156"/>
        <v>#DIV/0!</v>
      </c>
      <c r="DC170" s="68" t="e">
        <f t="shared" si="157"/>
        <v>#DIV/0!</v>
      </c>
      <c r="DD170" s="68" t="e">
        <f t="shared" si="158"/>
        <v>#DIV/0!</v>
      </c>
      <c r="DE170" s="68" t="e">
        <f t="shared" si="159"/>
        <v>#DIV/0!</v>
      </c>
      <c r="DF170" s="68" t="e">
        <f t="shared" si="199"/>
        <v>#DIV/0!</v>
      </c>
      <c r="DG170" s="68">
        <f t="shared" si="160"/>
        <v>0.45480516874807669</v>
      </c>
      <c r="DH170" s="68">
        <f t="shared" si="161"/>
        <v>1.3986079121535113</v>
      </c>
      <c r="DI170" s="68">
        <f t="shared" si="162"/>
        <v>0</v>
      </c>
      <c r="DJ170" s="68" t="e">
        <f t="shared" si="163"/>
        <v>#DIV/0!</v>
      </c>
      <c r="DK170" s="68" t="e">
        <f t="shared" si="164"/>
        <v>#DIV/0!</v>
      </c>
      <c r="DL170" s="68" t="e">
        <f t="shared" si="165"/>
        <v>#DIV/0!</v>
      </c>
      <c r="DM170" s="68" t="e">
        <f t="shared" si="166"/>
        <v>#DIV/0!</v>
      </c>
      <c r="DN170" s="68" t="e">
        <f t="shared" si="167"/>
        <v>#DIV/0!</v>
      </c>
      <c r="DO170" s="68" t="e">
        <f t="shared" si="168"/>
        <v>#DIV/0!</v>
      </c>
      <c r="DP170" s="68" t="e">
        <f t="shared" si="169"/>
        <v>#DIV/0!</v>
      </c>
      <c r="DQ170" s="68" t="e">
        <f t="shared" si="170"/>
        <v>#DIV/0!</v>
      </c>
      <c r="DR170" s="68" t="e">
        <f t="shared" si="171"/>
        <v>#DIV/0!</v>
      </c>
      <c r="DS170" s="68" t="e">
        <f t="shared" si="172"/>
        <v>#DIV/0!</v>
      </c>
      <c r="DT170" s="68" t="e">
        <f t="shared" si="173"/>
        <v>#DIV/0!</v>
      </c>
      <c r="DU170" s="68" t="e">
        <f t="shared" si="200"/>
        <v>#DIV/0!</v>
      </c>
      <c r="DV170" s="68" t="e">
        <f t="shared" si="174"/>
        <v>#DIV/0!</v>
      </c>
      <c r="DW170" s="68" t="e">
        <f t="shared" si="201"/>
        <v>#DIV/0!</v>
      </c>
      <c r="DX170" s="68">
        <f t="shared" si="175"/>
        <v>26.05841667</v>
      </c>
      <c r="DY170" s="68">
        <f t="shared" si="176"/>
        <v>80.134330559999995</v>
      </c>
      <c r="DZ170" s="68" t="e">
        <f t="shared" si="177"/>
        <v>#DIV/0!</v>
      </c>
      <c r="EA170" s="68" t="e">
        <f t="shared" si="178"/>
        <v>#DIV/0!</v>
      </c>
      <c r="EB170" s="68" t="e">
        <f t="shared" si="179"/>
        <v>#DIV/0!</v>
      </c>
      <c r="EC170" s="68" t="e">
        <f t="shared" si="180"/>
        <v>#DIV/0!</v>
      </c>
      <c r="ED170" s="68" t="e">
        <f t="shared" si="181"/>
        <v>#DIV/0!</v>
      </c>
      <c r="EE170" s="68" t="e">
        <f t="shared" si="182"/>
        <v>#DIV/0!</v>
      </c>
      <c r="EF170" s="68" t="e">
        <f t="shared" si="183"/>
        <v>#DIV/0!</v>
      </c>
      <c r="EG170" s="68" t="e">
        <f t="shared" si="184"/>
        <v>#DIV/0!</v>
      </c>
      <c r="EH170" s="68" t="e">
        <f t="shared" si="202"/>
        <v>#DIV/0!</v>
      </c>
      <c r="EI170" s="68" t="e">
        <f t="shared" si="185"/>
        <v>#DIV/0!</v>
      </c>
      <c r="EJ170" s="68" t="e">
        <f t="shared" si="186"/>
        <v>#DIV/0!</v>
      </c>
      <c r="EK170" s="68" t="e">
        <f t="shared" si="187"/>
        <v>#DIV/0!</v>
      </c>
      <c r="EL170" s="68" t="e">
        <f t="shared" si="188"/>
        <v>#DIV/0!</v>
      </c>
      <c r="EM170" s="68" t="e">
        <f t="shared" si="189"/>
        <v>#DIV/0!</v>
      </c>
      <c r="EN170" s="68" t="e">
        <f t="shared" si="190"/>
        <v>#DIV/0!</v>
      </c>
      <c r="EO170" s="68" t="e">
        <f t="shared" si="191"/>
        <v>#DIV/0!</v>
      </c>
      <c r="EP170" s="68" t="e">
        <f t="shared" si="192"/>
        <v>#DIV/0!</v>
      </c>
      <c r="EQ170" s="68" t="e">
        <f t="shared" si="193"/>
        <v>#DIV/0!</v>
      </c>
      <c r="ER170" s="68" t="e">
        <f t="shared" si="203"/>
        <v>#DIV/0!</v>
      </c>
    </row>
    <row r="171" spans="82:148" x14ac:dyDescent="0.25">
      <c r="CD171" s="68" t="s">
        <v>694</v>
      </c>
      <c r="CE171" s="69">
        <f t="shared" si="196"/>
        <v>260330.3</v>
      </c>
      <c r="CF171" s="69">
        <f t="shared" si="197"/>
        <v>800803.59</v>
      </c>
      <c r="CG171" s="70">
        <f t="shared" si="205"/>
        <v>0</v>
      </c>
      <c r="CH171" s="69">
        <f t="shared" si="206"/>
        <v>260330.30001199999</v>
      </c>
      <c r="CI171" s="69">
        <f t="shared" si="207"/>
        <v>800803.59001599997</v>
      </c>
      <c r="CJ171" s="68">
        <f t="shared" si="139"/>
        <v>26.05841667</v>
      </c>
      <c r="CK171" s="68">
        <f t="shared" si="140"/>
        <v>80.134330559999995</v>
      </c>
      <c r="CL171" s="68">
        <f t="shared" si="141"/>
        <v>26.05841667</v>
      </c>
      <c r="CM171" s="68">
        <f t="shared" si="142"/>
        <v>80.134330559999995</v>
      </c>
      <c r="CN171" s="68">
        <f t="shared" si="143"/>
        <v>0</v>
      </c>
      <c r="CO171" s="68">
        <f t="shared" si="144"/>
        <v>0</v>
      </c>
      <c r="CP171" s="68">
        <f t="shared" si="145"/>
        <v>0.43928729614546391</v>
      </c>
      <c r="CQ171" s="68">
        <f t="shared" si="146"/>
        <v>1.0027157713556663</v>
      </c>
      <c r="CR171" s="68">
        <f t="shared" si="147"/>
        <v>0</v>
      </c>
      <c r="CS171" s="68">
        <f t="shared" si="148"/>
        <v>0.48899531699999998</v>
      </c>
      <c r="CT171" s="68">
        <f t="shared" si="198"/>
        <v>0.23911642</v>
      </c>
      <c r="CU171" s="68">
        <f t="shared" si="149"/>
        <v>0</v>
      </c>
      <c r="CV171" s="68">
        <f t="shared" si="150"/>
        <v>0</v>
      </c>
      <c r="CW171" s="68">
        <f t="shared" si="151"/>
        <v>0</v>
      </c>
      <c r="CX171" s="68">
        <f t="shared" si="152"/>
        <v>0</v>
      </c>
      <c r="CY171" s="68">
        <f t="shared" si="153"/>
        <v>0</v>
      </c>
      <c r="CZ171" s="68" t="e">
        <f t="shared" si="154"/>
        <v>#DIV/0!</v>
      </c>
      <c r="DA171" s="68" t="e">
        <f t="shared" si="155"/>
        <v>#DIV/0!</v>
      </c>
      <c r="DB171" s="68" t="e">
        <f t="shared" si="156"/>
        <v>#DIV/0!</v>
      </c>
      <c r="DC171" s="68" t="e">
        <f t="shared" si="157"/>
        <v>#DIV/0!</v>
      </c>
      <c r="DD171" s="68" t="e">
        <f t="shared" si="158"/>
        <v>#DIV/0!</v>
      </c>
      <c r="DE171" s="68" t="e">
        <f t="shared" si="159"/>
        <v>#DIV/0!</v>
      </c>
      <c r="DF171" s="68" t="e">
        <f t="shared" si="199"/>
        <v>#DIV/0!</v>
      </c>
      <c r="DG171" s="68">
        <f t="shared" si="160"/>
        <v>0.45480516874807669</v>
      </c>
      <c r="DH171" s="68">
        <f t="shared" si="161"/>
        <v>1.3986079121535113</v>
      </c>
      <c r="DI171" s="68">
        <f t="shared" si="162"/>
        <v>0</v>
      </c>
      <c r="DJ171" s="68" t="e">
        <f t="shared" si="163"/>
        <v>#DIV/0!</v>
      </c>
      <c r="DK171" s="68" t="e">
        <f t="shared" si="164"/>
        <v>#DIV/0!</v>
      </c>
      <c r="DL171" s="68" t="e">
        <f t="shared" si="165"/>
        <v>#DIV/0!</v>
      </c>
      <c r="DM171" s="68" t="e">
        <f t="shared" si="166"/>
        <v>#DIV/0!</v>
      </c>
      <c r="DN171" s="68" t="e">
        <f t="shared" si="167"/>
        <v>#DIV/0!</v>
      </c>
      <c r="DO171" s="68" t="e">
        <f t="shared" si="168"/>
        <v>#DIV/0!</v>
      </c>
      <c r="DP171" s="68" t="e">
        <f t="shared" si="169"/>
        <v>#DIV/0!</v>
      </c>
      <c r="DQ171" s="68" t="e">
        <f t="shared" si="170"/>
        <v>#DIV/0!</v>
      </c>
      <c r="DR171" s="68" t="e">
        <f t="shared" si="171"/>
        <v>#DIV/0!</v>
      </c>
      <c r="DS171" s="68" t="e">
        <f t="shared" si="172"/>
        <v>#DIV/0!</v>
      </c>
      <c r="DT171" s="68" t="e">
        <f t="shared" si="173"/>
        <v>#DIV/0!</v>
      </c>
      <c r="DU171" s="68" t="e">
        <f t="shared" si="200"/>
        <v>#DIV/0!</v>
      </c>
      <c r="DV171" s="68" t="e">
        <f t="shared" si="174"/>
        <v>#DIV/0!</v>
      </c>
      <c r="DW171" s="68" t="e">
        <f t="shared" si="201"/>
        <v>#DIV/0!</v>
      </c>
      <c r="DX171" s="68">
        <f t="shared" si="175"/>
        <v>26.05841667</v>
      </c>
      <c r="DY171" s="68">
        <f t="shared" si="176"/>
        <v>80.134330559999995</v>
      </c>
      <c r="DZ171" s="68" t="e">
        <f t="shared" si="177"/>
        <v>#DIV/0!</v>
      </c>
      <c r="EA171" s="68" t="e">
        <f t="shared" si="178"/>
        <v>#DIV/0!</v>
      </c>
      <c r="EB171" s="68" t="e">
        <f t="shared" si="179"/>
        <v>#DIV/0!</v>
      </c>
      <c r="EC171" s="68" t="e">
        <f t="shared" si="180"/>
        <v>#DIV/0!</v>
      </c>
      <c r="ED171" s="68" t="e">
        <f t="shared" si="181"/>
        <v>#DIV/0!</v>
      </c>
      <c r="EE171" s="68" t="e">
        <f t="shared" si="182"/>
        <v>#DIV/0!</v>
      </c>
      <c r="EF171" s="68" t="e">
        <f t="shared" si="183"/>
        <v>#DIV/0!</v>
      </c>
      <c r="EG171" s="68" t="e">
        <f t="shared" si="184"/>
        <v>#DIV/0!</v>
      </c>
      <c r="EH171" s="68" t="e">
        <f t="shared" si="202"/>
        <v>#DIV/0!</v>
      </c>
      <c r="EI171" s="68" t="e">
        <f t="shared" si="185"/>
        <v>#DIV/0!</v>
      </c>
      <c r="EJ171" s="68" t="e">
        <f t="shared" si="186"/>
        <v>#DIV/0!</v>
      </c>
      <c r="EK171" s="68" t="e">
        <f t="shared" si="187"/>
        <v>#DIV/0!</v>
      </c>
      <c r="EL171" s="68" t="e">
        <f t="shared" si="188"/>
        <v>#DIV/0!</v>
      </c>
      <c r="EM171" s="68" t="e">
        <f t="shared" si="189"/>
        <v>#DIV/0!</v>
      </c>
      <c r="EN171" s="68" t="e">
        <f t="shared" si="190"/>
        <v>#DIV/0!</v>
      </c>
      <c r="EO171" s="68" t="e">
        <f t="shared" si="191"/>
        <v>#DIV/0!</v>
      </c>
      <c r="EP171" s="68" t="e">
        <f t="shared" si="192"/>
        <v>#DIV/0!</v>
      </c>
      <c r="EQ171" s="68" t="e">
        <f t="shared" si="193"/>
        <v>#DIV/0!</v>
      </c>
      <c r="ER171" s="68" t="e">
        <f t="shared" si="203"/>
        <v>#DIV/0!</v>
      </c>
    </row>
    <row r="172" spans="82:148" x14ac:dyDescent="0.25">
      <c r="CD172" s="68" t="s">
        <v>695</v>
      </c>
      <c r="CE172" s="69">
        <f t="shared" si="196"/>
        <v>260330.3</v>
      </c>
      <c r="CF172" s="69">
        <f t="shared" si="197"/>
        <v>800803.59</v>
      </c>
      <c r="CG172" s="70">
        <f t="shared" si="205"/>
        <v>0</v>
      </c>
      <c r="CH172" s="69">
        <f t="shared" si="206"/>
        <v>260330.30001199999</v>
      </c>
      <c r="CI172" s="69">
        <f t="shared" si="207"/>
        <v>800803.59001599997</v>
      </c>
      <c r="CJ172" s="68">
        <f t="shared" ref="CJ172:CJ206" si="208">(ROUND(((((((CE172)-((TRUNC(CE172/100))*100))/60)+(TRUNC(CE172/100))-((TRUNC(CE172/10000))*100))/60)+((TRUNC(CE172/10000)))),8))</f>
        <v>26.05841667</v>
      </c>
      <c r="CK172" s="68">
        <f t="shared" ref="CK172:CK206" si="209">(ROUND(((((((CF172)-((TRUNC(CF172/100))*100))/60)+(TRUNC(CF172/100))-((TRUNC(CF172/10000))*100))/60)+((TRUNC(CF172/10000)))),8))</f>
        <v>80.134330559999995</v>
      </c>
      <c r="CL172" s="68">
        <f t="shared" ref="CL172:CL206" si="210">(ROUND(((((((CH172)-((TRUNC(CH172/100))*100))/60)+(TRUNC(CH172/100))-((TRUNC(CH172/10000))*100))/60)+((TRUNC(CH172/10000)))),8))</f>
        <v>26.05841667</v>
      </c>
      <c r="CM172" s="68">
        <f t="shared" ref="CM172:CM206" si="211">(ROUND(((((((CI172)-((TRUNC(CI172/100))*100))/60)+(TRUNC(CI172/100))-((TRUNC(CI172/10000))*100))/60)+((TRUNC(CI172/10000)))),8))</f>
        <v>80.134330559999995</v>
      </c>
      <c r="CN172" s="68">
        <f t="shared" ref="CN172:CN206" si="212">(CJ172-CL172)</f>
        <v>0</v>
      </c>
      <c r="CO172" s="68">
        <f t="shared" ref="CO172:CO206" si="213">(CK172-CM172)</f>
        <v>0</v>
      </c>
      <c r="CP172" s="68">
        <f t="shared" ref="CP172:CP206" si="214">SIN((CL172+(CN172/2))*(PI()/180))</f>
        <v>0.43928729614546391</v>
      </c>
      <c r="CQ172" s="68">
        <f t="shared" ref="CQ172:CQ206" si="215">(SQRT((((COS((CL172+(CN172/2))*(PI()/180)))*(COS((CL172+(CN172/2))*(PI()/180))))/148.38)+1))</f>
        <v>1.0027157713556663</v>
      </c>
      <c r="CR172" s="68">
        <f t="shared" ref="CR172:CR206" si="216">(COS((CL172+(CN172/2))*(PI()/180)))*CO172</f>
        <v>0</v>
      </c>
      <c r="CS172" s="68">
        <f t="shared" ref="CS172:CS206" si="217">ROUND((CP172/(COS((CL172+(CN172/2))*(PI()/180)))),9)</f>
        <v>0.48899531699999998</v>
      </c>
      <c r="CT172" s="68">
        <f t="shared" si="198"/>
        <v>0.23911642</v>
      </c>
      <c r="CU172" s="68">
        <f t="shared" ref="CU172:CU206" si="218">ROUND((CR172*CR172),9)</f>
        <v>0</v>
      </c>
      <c r="CV172" s="68">
        <f t="shared" ref="CV172:CV206" si="219">(((((((CT172*3+2)*-1)*CU172)/78787)+1)/(CQ172*CQ172*CQ172))*(CN172*-1))</f>
        <v>0</v>
      </c>
      <c r="CW172" s="68">
        <f t="shared" ref="CW172:CW206" si="220">((((((CN172*CN172)+(CU172*(-1*CT172)))/78787)+1)/CQ172)*CR172)</f>
        <v>0</v>
      </c>
      <c r="CX172" s="68">
        <f t="shared" ref="CX172:CX206" si="221">ROUND((((CR172*(((CU172+CU172+(3*CN172*CN172))/78787)+1))*CS172)/2),9)</f>
        <v>0</v>
      </c>
      <c r="CY172" s="68">
        <f t="shared" ref="CY172:CY206" si="222">(ROUND((SQRT((CW172*CW172)+(CV172*CV172))),9))*111693.756178</f>
        <v>0</v>
      </c>
      <c r="CZ172" s="68" t="e">
        <f t="shared" ref="CZ172:CZ206" si="223">IF((CE172=CH172),(90*(CW172/(ABS(CW172)))),(IF((CE172&gt;CH172),(((ATAN(CW172/CV172))*(180/PI()))-180),((ATAN(CW172/CV172))*(180/PI())))))</f>
        <v>#DIV/0!</v>
      </c>
      <c r="DA172" s="68" t="e">
        <f t="shared" ref="DA172:DA206" si="224">ROUND((IF((CX172&gt;CZ172),(CZ172+360-CX172),(CZ172-CX172))),9)</f>
        <v>#DIV/0!</v>
      </c>
      <c r="DB172" s="68" t="e">
        <f t="shared" ref="DB172:DB206" si="225">ROUND((IF(((CZ172+180+CX172)&lt;0),(CZ172+180+CX172+360),(CZ172+180+CX172))),9)</f>
        <v>#DIV/0!</v>
      </c>
      <c r="DC172" s="68" t="e">
        <f t="shared" ref="DC172:DC206" si="226">ROUND((DA172+360),9)</f>
        <v>#DIV/0!</v>
      </c>
      <c r="DD172" s="68" t="e">
        <f t="shared" ref="DD172:DD206" si="227">IF((AND(((ABS(CG172+360-DC172))&gt;180),((ABS(CG172+360-DC172))&lt;&gt;180))),(COS((ABS(((ABS(CG172+360-DC172))*-1)+360))*(PI()/180))),(COS((ABS(CG172+360-DC172))*(PI()/180))))</f>
        <v>#DIV/0!</v>
      </c>
      <c r="DE172" s="68" t="e">
        <f t="shared" ref="DE172:DE206" si="228">ROUND(((CY172/1852)*DD172),7)</f>
        <v>#DIV/0!</v>
      </c>
      <c r="DF172" s="68" t="e">
        <f t="shared" si="199"/>
        <v>#DIV/0!</v>
      </c>
      <c r="DG172" s="68">
        <f t="shared" ref="DG172:DG206" si="229">(CJ172*(PI()/180))</f>
        <v>0.45480516874807669</v>
      </c>
      <c r="DH172" s="68">
        <f t="shared" ref="DH172:DH206" si="230">(CK172*(PI()/180))</f>
        <v>1.3986079121535113</v>
      </c>
      <c r="DI172" s="68">
        <f t="shared" ref="DI172:DI206" si="231">(CG172*(PI()/180))</f>
        <v>0</v>
      </c>
      <c r="DJ172" s="68" t="e">
        <f t="shared" ref="DJ172:DJ206" si="232">(DA172+DI172)</f>
        <v>#DIV/0!</v>
      </c>
      <c r="DK172" s="68" t="e">
        <f t="shared" ref="DK172:DK206" si="233">((DE172*1852)/6399598.4)</f>
        <v>#DIV/0!</v>
      </c>
      <c r="DL172" s="68" t="e">
        <f t="shared" ref="DL172:DL206" si="234">((1+(((COS((((COS(DI172))*DK172)/2)+DG172))*(COS((((COS(DI172))*DK172)/2)+DG172)))/148.38)))</f>
        <v>#DIV/0!</v>
      </c>
      <c r="DM172" s="68" t="e">
        <f t="shared" ref="DM172:DM206" si="235">(((DL172*DL172)*(DK172*DK172))*(SIN(DI172))*(COS(DI172)))</f>
        <v>#DIV/0!</v>
      </c>
      <c r="DN172" s="68" t="e">
        <f t="shared" ref="DN172:DN206" si="236">((((COS(DI172))*DK172)/2)+DG172)</f>
        <v>#DIV/0!</v>
      </c>
      <c r="DO172" s="68" t="e">
        <f t="shared" ref="DO172:DO206" si="237">(((TAN((DN172-DG172)+DN172))*DM172)*(TAN(DI172)))</f>
        <v>#DIV/0!</v>
      </c>
      <c r="DP172" s="68" t="e">
        <f t="shared" ref="DP172:DP206" si="238">((((COS(DI172-(DM172/3)))*DK172)*((SQRT(DL172))*DL172))-(DO172/2))</f>
        <v>#DIV/0!</v>
      </c>
      <c r="DQ172" s="68" t="e">
        <f t="shared" ref="DQ172:DQ206" si="239">(DG172+DP172)</f>
        <v>#DIV/0!</v>
      </c>
      <c r="DR172" s="68" t="e">
        <f t="shared" ref="DR172:DR206" si="240">ROUND(((((SQRT((((COS(DQ172))*(COS(DQ172)))/148.38)+1))*DK172)*(SIN(DI172-(DM172/6))))/(COS(DQ172+(DO172/6)))),9)</f>
        <v>#DIV/0!</v>
      </c>
      <c r="DS172" s="68" t="e">
        <f t="shared" ref="DS172:DS206" si="241">ROUND((DH172-DR172),9)</f>
        <v>#DIV/0!</v>
      </c>
      <c r="DT172" s="68" t="e">
        <f t="shared" ref="DT172:DT206" si="242">(DQ172*(180/PI()))</f>
        <v>#DIV/0!</v>
      </c>
      <c r="DU172" s="68" t="e">
        <f t="shared" si="200"/>
        <v>#DIV/0!</v>
      </c>
      <c r="DV172" s="68" t="e">
        <f t="shared" ref="DV172:DV206" si="243">ROUND((DS172*(180/PI())),8)</f>
        <v>#DIV/0!</v>
      </c>
      <c r="DW172" s="68" t="e">
        <f t="shared" si="201"/>
        <v>#DIV/0!</v>
      </c>
      <c r="DX172" s="68">
        <f t="shared" ref="DX172:DX206" si="244">(CL172)</f>
        <v>26.05841667</v>
      </c>
      <c r="DY172" s="68">
        <f t="shared" ref="DY172:DY206" si="245">(CM172)</f>
        <v>80.134330559999995</v>
      </c>
      <c r="DZ172" s="68" t="e">
        <f t="shared" ref="DZ172:DZ206" si="246">(DT172)</f>
        <v>#DIV/0!</v>
      </c>
      <c r="EA172" s="68" t="e">
        <f t="shared" ref="EA172:EA206" si="247">(DV172)</f>
        <v>#DIV/0!</v>
      </c>
      <c r="EB172" s="68" t="e">
        <f t="shared" ref="EB172:EB206" si="248">ROUND((DX172-DZ172),9)</f>
        <v>#DIV/0!</v>
      </c>
      <c r="EC172" s="68" t="e">
        <f t="shared" ref="EC172:EC206" si="249">(DY172-EA172)</f>
        <v>#DIV/0!</v>
      </c>
      <c r="ED172" s="68" t="e">
        <f t="shared" ref="ED172:ED206" si="250">SIN((DZ172+(EB172/2))*(PI()/180))</f>
        <v>#DIV/0!</v>
      </c>
      <c r="EE172" s="68" t="e">
        <f t="shared" ref="EE172:EE206" si="251">SQRT(((((COS((DZ172+(EB172/2))*(PI()/180)))*(COS((DZ172+(EB172/2))*(PI()/180))))/148.38)+1))</f>
        <v>#DIV/0!</v>
      </c>
      <c r="EF172" s="68" t="e">
        <f t="shared" ref="EF172:EF206" si="252">(COS((DZ172+(EB172/2))*(PI()/180)))</f>
        <v>#DIV/0!</v>
      </c>
      <c r="EG172" s="68" t="e">
        <f t="shared" ref="EG172:EG206" si="253">(ED172/EF172)</f>
        <v>#DIV/0!</v>
      </c>
      <c r="EH172" s="68" t="e">
        <f t="shared" si="202"/>
        <v>#DIV/0!</v>
      </c>
      <c r="EI172" s="68" t="e">
        <f t="shared" ref="EI172:EI206" si="254">(EC172*EF172)*(EC172*EF172)</f>
        <v>#DIV/0!</v>
      </c>
      <c r="EJ172" s="68" t="e">
        <f t="shared" ref="EJ172:EJ206" si="255">(((((-1*(2+(EH172*3)))*EI172)/78787)+1)/(EE172*EE172*EE172))*(EB172*-1)</f>
        <v>#DIV/0!</v>
      </c>
      <c r="EK172" s="68" t="e">
        <f t="shared" ref="EK172:EK206" si="256">(((((EI172*(EH172*-1))+(EB172*EB172))/78787)+1)/EE172)*(EC172*EF172)</f>
        <v>#DIV/0!</v>
      </c>
      <c r="EL172" s="68" t="e">
        <f t="shared" ref="EL172:EL206" si="257">((((((EB172*EB172*3)+2*EI172)/78787)+1)*(EF172*EC172))*EG172)/2</f>
        <v>#DIV/0!</v>
      </c>
      <c r="EM172" s="68" t="e">
        <f t="shared" ref="EM172:EM206" si="258">(ROUND((SQRT((EK172*EK172)+(EJ172*EJ172))),11))*111693.756178</f>
        <v>#DIV/0!</v>
      </c>
      <c r="EN172" s="68" t="e">
        <f t="shared" ref="EN172:EN206" si="259">IF((DX172=DZ172),(90*(EK172/(ABS(EK172)))),(IF((DX172&gt;DZ172),(IF((((ATAN(EK172/EJ172))*(180/PI()))&gt;0),(((ATAN(EK172/EJ172))*(180/PI()))-180),(((ATAN(EK172/EJ172))*(180/PI()))+180))),((ATAN(EK172/EJ172))*(180/PI())))))</f>
        <v>#DIV/0!</v>
      </c>
      <c r="EO172" s="68" t="e">
        <f t="shared" ref="EO172:EO206" si="260">IF((EL172&gt;EN172),(IF(((EN172+360-EL172)&gt;360),(EN172+360+EL172)-360,EN172+360-EL172)),(EN172-EL172))</f>
        <v>#DIV/0!</v>
      </c>
      <c r="EP172" s="68" t="e">
        <f t="shared" ref="EP172:EP206" si="261">IF(((EN172+180+EL172)&gt;360),(EN172+180+EL172)-360,EN172+180+EL172)</f>
        <v>#DIV/0!</v>
      </c>
      <c r="EQ172" s="68" t="e">
        <f t="shared" ref="EQ172:EQ206" si="262">(ROUND((EM172/1852),7))</f>
        <v>#DIV/0!</v>
      </c>
      <c r="ER172" s="68" t="e">
        <f t="shared" si="203"/>
        <v>#DIV/0!</v>
      </c>
    </row>
    <row r="173" spans="82:148" x14ac:dyDescent="0.25">
      <c r="CD173" s="68" t="s">
        <v>696</v>
      </c>
      <c r="CE173" s="69">
        <f t="shared" si="196"/>
        <v>260330.3</v>
      </c>
      <c r="CF173" s="69">
        <f t="shared" si="197"/>
        <v>800803.59</v>
      </c>
      <c r="CG173" s="70">
        <f t="shared" si="205"/>
        <v>0</v>
      </c>
      <c r="CH173" s="69">
        <f t="shared" si="206"/>
        <v>260330.30001199999</v>
      </c>
      <c r="CI173" s="69">
        <f t="shared" si="207"/>
        <v>800803.59001599997</v>
      </c>
      <c r="CJ173" s="68">
        <f t="shared" si="208"/>
        <v>26.05841667</v>
      </c>
      <c r="CK173" s="68">
        <f t="shared" si="209"/>
        <v>80.134330559999995</v>
      </c>
      <c r="CL173" s="68">
        <f t="shared" si="210"/>
        <v>26.05841667</v>
      </c>
      <c r="CM173" s="68">
        <f t="shared" si="211"/>
        <v>80.134330559999995</v>
      </c>
      <c r="CN173" s="68">
        <f t="shared" si="212"/>
        <v>0</v>
      </c>
      <c r="CO173" s="68">
        <f t="shared" si="213"/>
        <v>0</v>
      </c>
      <c r="CP173" s="68">
        <f t="shared" si="214"/>
        <v>0.43928729614546391</v>
      </c>
      <c r="CQ173" s="68">
        <f t="shared" si="215"/>
        <v>1.0027157713556663</v>
      </c>
      <c r="CR173" s="68">
        <f t="shared" si="216"/>
        <v>0</v>
      </c>
      <c r="CS173" s="68">
        <f t="shared" si="217"/>
        <v>0.48899531699999998</v>
      </c>
      <c r="CT173" s="68">
        <f t="shared" si="198"/>
        <v>0.23911642</v>
      </c>
      <c r="CU173" s="68">
        <f t="shared" si="218"/>
        <v>0</v>
      </c>
      <c r="CV173" s="68">
        <f t="shared" si="219"/>
        <v>0</v>
      </c>
      <c r="CW173" s="68">
        <f t="shared" si="220"/>
        <v>0</v>
      </c>
      <c r="CX173" s="68">
        <f t="shared" si="221"/>
        <v>0</v>
      </c>
      <c r="CY173" s="68">
        <f t="shared" si="222"/>
        <v>0</v>
      </c>
      <c r="CZ173" s="68" t="e">
        <f t="shared" si="223"/>
        <v>#DIV/0!</v>
      </c>
      <c r="DA173" s="68" t="e">
        <f t="shared" si="224"/>
        <v>#DIV/0!</v>
      </c>
      <c r="DB173" s="68" t="e">
        <f t="shared" si="225"/>
        <v>#DIV/0!</v>
      </c>
      <c r="DC173" s="68" t="e">
        <f t="shared" si="226"/>
        <v>#DIV/0!</v>
      </c>
      <c r="DD173" s="68" t="e">
        <f t="shared" si="227"/>
        <v>#DIV/0!</v>
      </c>
      <c r="DE173" s="68" t="e">
        <f t="shared" si="228"/>
        <v>#DIV/0!</v>
      </c>
      <c r="DF173" s="68" t="e">
        <f t="shared" si="199"/>
        <v>#DIV/0!</v>
      </c>
      <c r="DG173" s="68">
        <f t="shared" si="229"/>
        <v>0.45480516874807669</v>
      </c>
      <c r="DH173" s="68">
        <f t="shared" si="230"/>
        <v>1.3986079121535113</v>
      </c>
      <c r="DI173" s="68">
        <f t="shared" si="231"/>
        <v>0</v>
      </c>
      <c r="DJ173" s="68" t="e">
        <f t="shared" si="232"/>
        <v>#DIV/0!</v>
      </c>
      <c r="DK173" s="68" t="e">
        <f t="shared" si="233"/>
        <v>#DIV/0!</v>
      </c>
      <c r="DL173" s="68" t="e">
        <f t="shared" si="234"/>
        <v>#DIV/0!</v>
      </c>
      <c r="DM173" s="68" t="e">
        <f t="shared" si="235"/>
        <v>#DIV/0!</v>
      </c>
      <c r="DN173" s="68" t="e">
        <f t="shared" si="236"/>
        <v>#DIV/0!</v>
      </c>
      <c r="DO173" s="68" t="e">
        <f t="shared" si="237"/>
        <v>#DIV/0!</v>
      </c>
      <c r="DP173" s="68" t="e">
        <f t="shared" si="238"/>
        <v>#DIV/0!</v>
      </c>
      <c r="DQ173" s="68" t="e">
        <f t="shared" si="239"/>
        <v>#DIV/0!</v>
      </c>
      <c r="DR173" s="68" t="e">
        <f t="shared" si="240"/>
        <v>#DIV/0!</v>
      </c>
      <c r="DS173" s="68" t="e">
        <f t="shared" si="241"/>
        <v>#DIV/0!</v>
      </c>
      <c r="DT173" s="68" t="e">
        <f t="shared" si="242"/>
        <v>#DIV/0!</v>
      </c>
      <c r="DU173" s="68" t="e">
        <f t="shared" si="200"/>
        <v>#DIV/0!</v>
      </c>
      <c r="DV173" s="68" t="e">
        <f t="shared" si="243"/>
        <v>#DIV/0!</v>
      </c>
      <c r="DW173" s="68" t="e">
        <f t="shared" si="201"/>
        <v>#DIV/0!</v>
      </c>
      <c r="DX173" s="68">
        <f t="shared" si="244"/>
        <v>26.05841667</v>
      </c>
      <c r="DY173" s="68">
        <f t="shared" si="245"/>
        <v>80.134330559999995</v>
      </c>
      <c r="DZ173" s="68" t="e">
        <f t="shared" si="246"/>
        <v>#DIV/0!</v>
      </c>
      <c r="EA173" s="68" t="e">
        <f t="shared" si="247"/>
        <v>#DIV/0!</v>
      </c>
      <c r="EB173" s="68" t="e">
        <f t="shared" si="248"/>
        <v>#DIV/0!</v>
      </c>
      <c r="EC173" s="68" t="e">
        <f t="shared" si="249"/>
        <v>#DIV/0!</v>
      </c>
      <c r="ED173" s="68" t="e">
        <f t="shared" si="250"/>
        <v>#DIV/0!</v>
      </c>
      <c r="EE173" s="68" t="e">
        <f t="shared" si="251"/>
        <v>#DIV/0!</v>
      </c>
      <c r="EF173" s="68" t="e">
        <f t="shared" si="252"/>
        <v>#DIV/0!</v>
      </c>
      <c r="EG173" s="68" t="e">
        <f t="shared" si="253"/>
        <v>#DIV/0!</v>
      </c>
      <c r="EH173" s="68" t="e">
        <f t="shared" si="202"/>
        <v>#DIV/0!</v>
      </c>
      <c r="EI173" s="68" t="e">
        <f t="shared" si="254"/>
        <v>#DIV/0!</v>
      </c>
      <c r="EJ173" s="68" t="e">
        <f t="shared" si="255"/>
        <v>#DIV/0!</v>
      </c>
      <c r="EK173" s="68" t="e">
        <f t="shared" si="256"/>
        <v>#DIV/0!</v>
      </c>
      <c r="EL173" s="68" t="e">
        <f t="shared" si="257"/>
        <v>#DIV/0!</v>
      </c>
      <c r="EM173" s="68" t="e">
        <f t="shared" si="258"/>
        <v>#DIV/0!</v>
      </c>
      <c r="EN173" s="68" t="e">
        <f t="shared" si="259"/>
        <v>#DIV/0!</v>
      </c>
      <c r="EO173" s="68" t="e">
        <f t="shared" si="260"/>
        <v>#DIV/0!</v>
      </c>
      <c r="EP173" s="68" t="e">
        <f t="shared" si="261"/>
        <v>#DIV/0!</v>
      </c>
      <c r="EQ173" s="68" t="e">
        <f t="shared" si="262"/>
        <v>#DIV/0!</v>
      </c>
      <c r="ER173" s="68" t="e">
        <f t="shared" si="203"/>
        <v>#DIV/0!</v>
      </c>
    </row>
    <row r="174" spans="82:148" x14ac:dyDescent="0.25">
      <c r="CD174" s="68" t="s">
        <v>697</v>
      </c>
      <c r="CE174" s="69">
        <f t="shared" si="196"/>
        <v>260330.3</v>
      </c>
      <c r="CF174" s="69">
        <f t="shared" si="197"/>
        <v>800803.59</v>
      </c>
      <c r="CG174" s="70">
        <f t="shared" si="205"/>
        <v>0</v>
      </c>
      <c r="CH174" s="69">
        <f t="shared" si="206"/>
        <v>260330.30001199999</v>
      </c>
      <c r="CI174" s="69">
        <f t="shared" si="207"/>
        <v>800803.59001599997</v>
      </c>
      <c r="CJ174" s="68">
        <f t="shared" si="208"/>
        <v>26.05841667</v>
      </c>
      <c r="CK174" s="68">
        <f t="shared" si="209"/>
        <v>80.134330559999995</v>
      </c>
      <c r="CL174" s="68">
        <f t="shared" si="210"/>
        <v>26.05841667</v>
      </c>
      <c r="CM174" s="68">
        <f t="shared" si="211"/>
        <v>80.134330559999995</v>
      </c>
      <c r="CN174" s="68">
        <f t="shared" si="212"/>
        <v>0</v>
      </c>
      <c r="CO174" s="68">
        <f t="shared" si="213"/>
        <v>0</v>
      </c>
      <c r="CP174" s="68">
        <f t="shared" si="214"/>
        <v>0.43928729614546391</v>
      </c>
      <c r="CQ174" s="68">
        <f t="shared" si="215"/>
        <v>1.0027157713556663</v>
      </c>
      <c r="CR174" s="68">
        <f t="shared" si="216"/>
        <v>0</v>
      </c>
      <c r="CS174" s="68">
        <f t="shared" si="217"/>
        <v>0.48899531699999998</v>
      </c>
      <c r="CT174" s="68">
        <f t="shared" si="198"/>
        <v>0.23911642</v>
      </c>
      <c r="CU174" s="68">
        <f t="shared" si="218"/>
        <v>0</v>
      </c>
      <c r="CV174" s="68">
        <f t="shared" si="219"/>
        <v>0</v>
      </c>
      <c r="CW174" s="68">
        <f t="shared" si="220"/>
        <v>0</v>
      </c>
      <c r="CX174" s="68">
        <f t="shared" si="221"/>
        <v>0</v>
      </c>
      <c r="CY174" s="68">
        <f t="shared" si="222"/>
        <v>0</v>
      </c>
      <c r="CZ174" s="68" t="e">
        <f t="shared" si="223"/>
        <v>#DIV/0!</v>
      </c>
      <c r="DA174" s="68" t="e">
        <f t="shared" si="224"/>
        <v>#DIV/0!</v>
      </c>
      <c r="DB174" s="68" t="e">
        <f t="shared" si="225"/>
        <v>#DIV/0!</v>
      </c>
      <c r="DC174" s="68" t="e">
        <f t="shared" si="226"/>
        <v>#DIV/0!</v>
      </c>
      <c r="DD174" s="68" t="e">
        <f t="shared" si="227"/>
        <v>#DIV/0!</v>
      </c>
      <c r="DE174" s="68" t="e">
        <f t="shared" si="228"/>
        <v>#DIV/0!</v>
      </c>
      <c r="DF174" s="68" t="e">
        <f t="shared" si="199"/>
        <v>#DIV/0!</v>
      </c>
      <c r="DG174" s="68">
        <f t="shared" si="229"/>
        <v>0.45480516874807669</v>
      </c>
      <c r="DH174" s="68">
        <f t="shared" si="230"/>
        <v>1.3986079121535113</v>
      </c>
      <c r="DI174" s="68">
        <f t="shared" si="231"/>
        <v>0</v>
      </c>
      <c r="DJ174" s="68" t="e">
        <f t="shared" si="232"/>
        <v>#DIV/0!</v>
      </c>
      <c r="DK174" s="68" t="e">
        <f t="shared" si="233"/>
        <v>#DIV/0!</v>
      </c>
      <c r="DL174" s="68" t="e">
        <f t="shared" si="234"/>
        <v>#DIV/0!</v>
      </c>
      <c r="DM174" s="68" t="e">
        <f t="shared" si="235"/>
        <v>#DIV/0!</v>
      </c>
      <c r="DN174" s="68" t="e">
        <f t="shared" si="236"/>
        <v>#DIV/0!</v>
      </c>
      <c r="DO174" s="68" t="e">
        <f t="shared" si="237"/>
        <v>#DIV/0!</v>
      </c>
      <c r="DP174" s="68" t="e">
        <f t="shared" si="238"/>
        <v>#DIV/0!</v>
      </c>
      <c r="DQ174" s="68" t="e">
        <f t="shared" si="239"/>
        <v>#DIV/0!</v>
      </c>
      <c r="DR174" s="68" t="e">
        <f t="shared" si="240"/>
        <v>#DIV/0!</v>
      </c>
      <c r="DS174" s="68" t="e">
        <f t="shared" si="241"/>
        <v>#DIV/0!</v>
      </c>
      <c r="DT174" s="68" t="e">
        <f t="shared" si="242"/>
        <v>#DIV/0!</v>
      </c>
      <c r="DU174" s="68" t="e">
        <f t="shared" si="200"/>
        <v>#DIV/0!</v>
      </c>
      <c r="DV174" s="68" t="e">
        <f t="shared" si="243"/>
        <v>#DIV/0!</v>
      </c>
      <c r="DW174" s="68" t="e">
        <f t="shared" si="201"/>
        <v>#DIV/0!</v>
      </c>
      <c r="DX174" s="68">
        <f t="shared" si="244"/>
        <v>26.05841667</v>
      </c>
      <c r="DY174" s="68">
        <f t="shared" si="245"/>
        <v>80.134330559999995</v>
      </c>
      <c r="DZ174" s="68" t="e">
        <f t="shared" si="246"/>
        <v>#DIV/0!</v>
      </c>
      <c r="EA174" s="68" t="e">
        <f t="shared" si="247"/>
        <v>#DIV/0!</v>
      </c>
      <c r="EB174" s="68" t="e">
        <f t="shared" si="248"/>
        <v>#DIV/0!</v>
      </c>
      <c r="EC174" s="68" t="e">
        <f t="shared" si="249"/>
        <v>#DIV/0!</v>
      </c>
      <c r="ED174" s="68" t="e">
        <f t="shared" si="250"/>
        <v>#DIV/0!</v>
      </c>
      <c r="EE174" s="68" t="e">
        <f t="shared" si="251"/>
        <v>#DIV/0!</v>
      </c>
      <c r="EF174" s="68" t="e">
        <f t="shared" si="252"/>
        <v>#DIV/0!</v>
      </c>
      <c r="EG174" s="68" t="e">
        <f t="shared" si="253"/>
        <v>#DIV/0!</v>
      </c>
      <c r="EH174" s="68" t="e">
        <f t="shared" si="202"/>
        <v>#DIV/0!</v>
      </c>
      <c r="EI174" s="68" t="e">
        <f t="shared" si="254"/>
        <v>#DIV/0!</v>
      </c>
      <c r="EJ174" s="68" t="e">
        <f t="shared" si="255"/>
        <v>#DIV/0!</v>
      </c>
      <c r="EK174" s="68" t="e">
        <f t="shared" si="256"/>
        <v>#DIV/0!</v>
      </c>
      <c r="EL174" s="68" t="e">
        <f t="shared" si="257"/>
        <v>#DIV/0!</v>
      </c>
      <c r="EM174" s="68" t="e">
        <f t="shared" si="258"/>
        <v>#DIV/0!</v>
      </c>
      <c r="EN174" s="68" t="e">
        <f t="shared" si="259"/>
        <v>#DIV/0!</v>
      </c>
      <c r="EO174" s="68" t="e">
        <f t="shared" si="260"/>
        <v>#DIV/0!</v>
      </c>
      <c r="EP174" s="68" t="e">
        <f t="shared" si="261"/>
        <v>#DIV/0!</v>
      </c>
      <c r="EQ174" s="68" t="e">
        <f t="shared" si="262"/>
        <v>#DIV/0!</v>
      </c>
      <c r="ER174" s="68" t="e">
        <f t="shared" si="203"/>
        <v>#DIV/0!</v>
      </c>
    </row>
    <row r="175" spans="82:148" x14ac:dyDescent="0.25">
      <c r="CD175" s="68" t="s">
        <v>698</v>
      </c>
      <c r="CE175" s="69">
        <f t="shared" si="196"/>
        <v>260330.3</v>
      </c>
      <c r="CF175" s="69">
        <f t="shared" si="197"/>
        <v>800803.59</v>
      </c>
      <c r="CG175" s="70">
        <f t="shared" si="205"/>
        <v>0</v>
      </c>
      <c r="CH175" s="69">
        <f t="shared" si="206"/>
        <v>260330.30001199999</v>
      </c>
      <c r="CI175" s="69">
        <f t="shared" si="207"/>
        <v>800803.59001599997</v>
      </c>
      <c r="CJ175" s="68">
        <f t="shared" si="208"/>
        <v>26.05841667</v>
      </c>
      <c r="CK175" s="68">
        <f t="shared" si="209"/>
        <v>80.134330559999995</v>
      </c>
      <c r="CL175" s="68">
        <f t="shared" si="210"/>
        <v>26.05841667</v>
      </c>
      <c r="CM175" s="68">
        <f t="shared" si="211"/>
        <v>80.134330559999995</v>
      </c>
      <c r="CN175" s="68">
        <f t="shared" si="212"/>
        <v>0</v>
      </c>
      <c r="CO175" s="68">
        <f t="shared" si="213"/>
        <v>0</v>
      </c>
      <c r="CP175" s="68">
        <f t="shared" si="214"/>
        <v>0.43928729614546391</v>
      </c>
      <c r="CQ175" s="68">
        <f t="shared" si="215"/>
        <v>1.0027157713556663</v>
      </c>
      <c r="CR175" s="68">
        <f t="shared" si="216"/>
        <v>0</v>
      </c>
      <c r="CS175" s="68">
        <f t="shared" si="217"/>
        <v>0.48899531699999998</v>
      </c>
      <c r="CT175" s="68">
        <f t="shared" si="198"/>
        <v>0.23911642</v>
      </c>
      <c r="CU175" s="68">
        <f t="shared" si="218"/>
        <v>0</v>
      </c>
      <c r="CV175" s="68">
        <f t="shared" si="219"/>
        <v>0</v>
      </c>
      <c r="CW175" s="68">
        <f t="shared" si="220"/>
        <v>0</v>
      </c>
      <c r="CX175" s="68">
        <f t="shared" si="221"/>
        <v>0</v>
      </c>
      <c r="CY175" s="68">
        <f t="shared" si="222"/>
        <v>0</v>
      </c>
      <c r="CZ175" s="68" t="e">
        <f t="shared" si="223"/>
        <v>#DIV/0!</v>
      </c>
      <c r="DA175" s="68" t="e">
        <f t="shared" si="224"/>
        <v>#DIV/0!</v>
      </c>
      <c r="DB175" s="68" t="e">
        <f t="shared" si="225"/>
        <v>#DIV/0!</v>
      </c>
      <c r="DC175" s="68" t="e">
        <f t="shared" si="226"/>
        <v>#DIV/0!</v>
      </c>
      <c r="DD175" s="68" t="e">
        <f t="shared" si="227"/>
        <v>#DIV/0!</v>
      </c>
      <c r="DE175" s="68" t="e">
        <f t="shared" si="228"/>
        <v>#DIV/0!</v>
      </c>
      <c r="DF175" s="68" t="e">
        <f t="shared" si="199"/>
        <v>#DIV/0!</v>
      </c>
      <c r="DG175" s="68">
        <f t="shared" si="229"/>
        <v>0.45480516874807669</v>
      </c>
      <c r="DH175" s="68">
        <f t="shared" si="230"/>
        <v>1.3986079121535113</v>
      </c>
      <c r="DI175" s="68">
        <f t="shared" si="231"/>
        <v>0</v>
      </c>
      <c r="DJ175" s="68" t="e">
        <f t="shared" si="232"/>
        <v>#DIV/0!</v>
      </c>
      <c r="DK175" s="68" t="e">
        <f t="shared" si="233"/>
        <v>#DIV/0!</v>
      </c>
      <c r="DL175" s="68" t="e">
        <f t="shared" si="234"/>
        <v>#DIV/0!</v>
      </c>
      <c r="DM175" s="68" t="e">
        <f t="shared" si="235"/>
        <v>#DIV/0!</v>
      </c>
      <c r="DN175" s="68" t="e">
        <f t="shared" si="236"/>
        <v>#DIV/0!</v>
      </c>
      <c r="DO175" s="68" t="e">
        <f t="shared" si="237"/>
        <v>#DIV/0!</v>
      </c>
      <c r="DP175" s="68" t="e">
        <f t="shared" si="238"/>
        <v>#DIV/0!</v>
      </c>
      <c r="DQ175" s="68" t="e">
        <f t="shared" si="239"/>
        <v>#DIV/0!</v>
      </c>
      <c r="DR175" s="68" t="e">
        <f t="shared" si="240"/>
        <v>#DIV/0!</v>
      </c>
      <c r="DS175" s="68" t="e">
        <f t="shared" si="241"/>
        <v>#DIV/0!</v>
      </c>
      <c r="DT175" s="68" t="e">
        <f t="shared" si="242"/>
        <v>#DIV/0!</v>
      </c>
      <c r="DU175" s="68" t="e">
        <f t="shared" si="200"/>
        <v>#DIV/0!</v>
      </c>
      <c r="DV175" s="68" t="e">
        <f t="shared" si="243"/>
        <v>#DIV/0!</v>
      </c>
      <c r="DW175" s="68" t="e">
        <f t="shared" si="201"/>
        <v>#DIV/0!</v>
      </c>
      <c r="DX175" s="68">
        <f t="shared" si="244"/>
        <v>26.05841667</v>
      </c>
      <c r="DY175" s="68">
        <f t="shared" si="245"/>
        <v>80.134330559999995</v>
      </c>
      <c r="DZ175" s="68" t="e">
        <f t="shared" si="246"/>
        <v>#DIV/0!</v>
      </c>
      <c r="EA175" s="68" t="e">
        <f t="shared" si="247"/>
        <v>#DIV/0!</v>
      </c>
      <c r="EB175" s="68" t="e">
        <f t="shared" si="248"/>
        <v>#DIV/0!</v>
      </c>
      <c r="EC175" s="68" t="e">
        <f t="shared" si="249"/>
        <v>#DIV/0!</v>
      </c>
      <c r="ED175" s="68" t="e">
        <f t="shared" si="250"/>
        <v>#DIV/0!</v>
      </c>
      <c r="EE175" s="68" t="e">
        <f t="shared" si="251"/>
        <v>#DIV/0!</v>
      </c>
      <c r="EF175" s="68" t="e">
        <f t="shared" si="252"/>
        <v>#DIV/0!</v>
      </c>
      <c r="EG175" s="68" t="e">
        <f t="shared" si="253"/>
        <v>#DIV/0!</v>
      </c>
      <c r="EH175" s="68" t="e">
        <f t="shared" si="202"/>
        <v>#DIV/0!</v>
      </c>
      <c r="EI175" s="68" t="e">
        <f t="shared" si="254"/>
        <v>#DIV/0!</v>
      </c>
      <c r="EJ175" s="68" t="e">
        <f t="shared" si="255"/>
        <v>#DIV/0!</v>
      </c>
      <c r="EK175" s="68" t="e">
        <f t="shared" si="256"/>
        <v>#DIV/0!</v>
      </c>
      <c r="EL175" s="68" t="e">
        <f t="shared" si="257"/>
        <v>#DIV/0!</v>
      </c>
      <c r="EM175" s="68" t="e">
        <f t="shared" si="258"/>
        <v>#DIV/0!</v>
      </c>
      <c r="EN175" s="68" t="e">
        <f t="shared" si="259"/>
        <v>#DIV/0!</v>
      </c>
      <c r="EO175" s="68" t="e">
        <f t="shared" si="260"/>
        <v>#DIV/0!</v>
      </c>
      <c r="EP175" s="68" t="e">
        <f t="shared" si="261"/>
        <v>#DIV/0!</v>
      </c>
      <c r="EQ175" s="68" t="e">
        <f t="shared" si="262"/>
        <v>#DIV/0!</v>
      </c>
      <c r="ER175" s="68" t="e">
        <f t="shared" si="203"/>
        <v>#DIV/0!</v>
      </c>
    </row>
    <row r="176" spans="82:148" x14ac:dyDescent="0.25">
      <c r="CD176" s="68" t="s">
        <v>699</v>
      </c>
      <c r="CE176" s="69">
        <f t="shared" si="196"/>
        <v>260330.3</v>
      </c>
      <c r="CF176" s="69">
        <f t="shared" si="197"/>
        <v>800803.59</v>
      </c>
      <c r="CG176" s="70">
        <f t="shared" si="205"/>
        <v>0</v>
      </c>
      <c r="CH176" s="69">
        <f t="shared" si="206"/>
        <v>260330.30001199999</v>
      </c>
      <c r="CI176" s="69">
        <f t="shared" si="207"/>
        <v>800803.59001599997</v>
      </c>
      <c r="CJ176" s="68">
        <f t="shared" si="208"/>
        <v>26.05841667</v>
      </c>
      <c r="CK176" s="68">
        <f t="shared" si="209"/>
        <v>80.134330559999995</v>
      </c>
      <c r="CL176" s="68">
        <f t="shared" si="210"/>
        <v>26.05841667</v>
      </c>
      <c r="CM176" s="68">
        <f t="shared" si="211"/>
        <v>80.134330559999995</v>
      </c>
      <c r="CN176" s="68">
        <f t="shared" si="212"/>
        <v>0</v>
      </c>
      <c r="CO176" s="68">
        <f t="shared" si="213"/>
        <v>0</v>
      </c>
      <c r="CP176" s="68">
        <f t="shared" si="214"/>
        <v>0.43928729614546391</v>
      </c>
      <c r="CQ176" s="68">
        <f t="shared" si="215"/>
        <v>1.0027157713556663</v>
      </c>
      <c r="CR176" s="68">
        <f t="shared" si="216"/>
        <v>0</v>
      </c>
      <c r="CS176" s="68">
        <f t="shared" si="217"/>
        <v>0.48899531699999998</v>
      </c>
      <c r="CT176" s="68">
        <f t="shared" si="198"/>
        <v>0.23911642</v>
      </c>
      <c r="CU176" s="68">
        <f t="shared" si="218"/>
        <v>0</v>
      </c>
      <c r="CV176" s="68">
        <f t="shared" si="219"/>
        <v>0</v>
      </c>
      <c r="CW176" s="68">
        <f t="shared" si="220"/>
        <v>0</v>
      </c>
      <c r="CX176" s="68">
        <f t="shared" si="221"/>
        <v>0</v>
      </c>
      <c r="CY176" s="68">
        <f t="shared" si="222"/>
        <v>0</v>
      </c>
      <c r="CZ176" s="68" t="e">
        <f t="shared" si="223"/>
        <v>#DIV/0!</v>
      </c>
      <c r="DA176" s="68" t="e">
        <f t="shared" si="224"/>
        <v>#DIV/0!</v>
      </c>
      <c r="DB176" s="68" t="e">
        <f t="shared" si="225"/>
        <v>#DIV/0!</v>
      </c>
      <c r="DC176" s="68" t="e">
        <f t="shared" si="226"/>
        <v>#DIV/0!</v>
      </c>
      <c r="DD176" s="68" t="e">
        <f t="shared" si="227"/>
        <v>#DIV/0!</v>
      </c>
      <c r="DE176" s="68" t="e">
        <f t="shared" si="228"/>
        <v>#DIV/0!</v>
      </c>
      <c r="DF176" s="68" t="e">
        <f t="shared" si="199"/>
        <v>#DIV/0!</v>
      </c>
      <c r="DG176" s="68">
        <f t="shared" si="229"/>
        <v>0.45480516874807669</v>
      </c>
      <c r="DH176" s="68">
        <f t="shared" si="230"/>
        <v>1.3986079121535113</v>
      </c>
      <c r="DI176" s="68">
        <f t="shared" si="231"/>
        <v>0</v>
      </c>
      <c r="DJ176" s="68" t="e">
        <f t="shared" si="232"/>
        <v>#DIV/0!</v>
      </c>
      <c r="DK176" s="68" t="e">
        <f t="shared" si="233"/>
        <v>#DIV/0!</v>
      </c>
      <c r="DL176" s="68" t="e">
        <f t="shared" si="234"/>
        <v>#DIV/0!</v>
      </c>
      <c r="DM176" s="68" t="e">
        <f t="shared" si="235"/>
        <v>#DIV/0!</v>
      </c>
      <c r="DN176" s="68" t="e">
        <f t="shared" si="236"/>
        <v>#DIV/0!</v>
      </c>
      <c r="DO176" s="68" t="e">
        <f t="shared" si="237"/>
        <v>#DIV/0!</v>
      </c>
      <c r="DP176" s="68" t="e">
        <f t="shared" si="238"/>
        <v>#DIV/0!</v>
      </c>
      <c r="DQ176" s="68" t="e">
        <f t="shared" si="239"/>
        <v>#DIV/0!</v>
      </c>
      <c r="DR176" s="68" t="e">
        <f t="shared" si="240"/>
        <v>#DIV/0!</v>
      </c>
      <c r="DS176" s="68" t="e">
        <f t="shared" si="241"/>
        <v>#DIV/0!</v>
      </c>
      <c r="DT176" s="68" t="e">
        <f t="shared" si="242"/>
        <v>#DIV/0!</v>
      </c>
      <c r="DU176" s="68" t="e">
        <f t="shared" si="200"/>
        <v>#DIV/0!</v>
      </c>
      <c r="DV176" s="68" t="e">
        <f t="shared" si="243"/>
        <v>#DIV/0!</v>
      </c>
      <c r="DW176" s="68" t="e">
        <f t="shared" si="201"/>
        <v>#DIV/0!</v>
      </c>
      <c r="DX176" s="68">
        <f t="shared" si="244"/>
        <v>26.05841667</v>
      </c>
      <c r="DY176" s="68">
        <f t="shared" si="245"/>
        <v>80.134330559999995</v>
      </c>
      <c r="DZ176" s="68" t="e">
        <f t="shared" si="246"/>
        <v>#DIV/0!</v>
      </c>
      <c r="EA176" s="68" t="e">
        <f t="shared" si="247"/>
        <v>#DIV/0!</v>
      </c>
      <c r="EB176" s="68" t="e">
        <f t="shared" si="248"/>
        <v>#DIV/0!</v>
      </c>
      <c r="EC176" s="68" t="e">
        <f t="shared" si="249"/>
        <v>#DIV/0!</v>
      </c>
      <c r="ED176" s="68" t="e">
        <f t="shared" si="250"/>
        <v>#DIV/0!</v>
      </c>
      <c r="EE176" s="68" t="e">
        <f t="shared" si="251"/>
        <v>#DIV/0!</v>
      </c>
      <c r="EF176" s="68" t="e">
        <f t="shared" si="252"/>
        <v>#DIV/0!</v>
      </c>
      <c r="EG176" s="68" t="e">
        <f t="shared" si="253"/>
        <v>#DIV/0!</v>
      </c>
      <c r="EH176" s="68" t="e">
        <f t="shared" si="202"/>
        <v>#DIV/0!</v>
      </c>
      <c r="EI176" s="68" t="e">
        <f t="shared" si="254"/>
        <v>#DIV/0!</v>
      </c>
      <c r="EJ176" s="68" t="e">
        <f t="shared" si="255"/>
        <v>#DIV/0!</v>
      </c>
      <c r="EK176" s="68" t="e">
        <f t="shared" si="256"/>
        <v>#DIV/0!</v>
      </c>
      <c r="EL176" s="68" t="e">
        <f t="shared" si="257"/>
        <v>#DIV/0!</v>
      </c>
      <c r="EM176" s="68" t="e">
        <f t="shared" si="258"/>
        <v>#DIV/0!</v>
      </c>
      <c r="EN176" s="68" t="e">
        <f t="shared" si="259"/>
        <v>#DIV/0!</v>
      </c>
      <c r="EO176" s="68" t="e">
        <f t="shared" si="260"/>
        <v>#DIV/0!</v>
      </c>
      <c r="EP176" s="68" t="e">
        <f t="shared" si="261"/>
        <v>#DIV/0!</v>
      </c>
      <c r="EQ176" s="68" t="e">
        <f t="shared" si="262"/>
        <v>#DIV/0!</v>
      </c>
      <c r="ER176" s="68" t="e">
        <f t="shared" si="203"/>
        <v>#DIV/0!</v>
      </c>
    </row>
    <row r="177" spans="82:148" x14ac:dyDescent="0.25">
      <c r="CD177" s="68" t="s">
        <v>700</v>
      </c>
      <c r="CE177" s="69">
        <f t="shared" si="196"/>
        <v>260330.3</v>
      </c>
      <c r="CF177" s="69">
        <f t="shared" si="197"/>
        <v>800803.59</v>
      </c>
      <c r="CG177" s="70">
        <f t="shared" si="205"/>
        <v>0</v>
      </c>
      <c r="CH177" s="69">
        <f t="shared" si="206"/>
        <v>260330.30001199999</v>
      </c>
      <c r="CI177" s="69">
        <f t="shared" si="207"/>
        <v>800803.59001599997</v>
      </c>
      <c r="CJ177" s="68">
        <f t="shared" si="208"/>
        <v>26.05841667</v>
      </c>
      <c r="CK177" s="68">
        <f t="shared" si="209"/>
        <v>80.134330559999995</v>
      </c>
      <c r="CL177" s="68">
        <f t="shared" si="210"/>
        <v>26.05841667</v>
      </c>
      <c r="CM177" s="68">
        <f t="shared" si="211"/>
        <v>80.134330559999995</v>
      </c>
      <c r="CN177" s="68">
        <f t="shared" si="212"/>
        <v>0</v>
      </c>
      <c r="CO177" s="68">
        <f t="shared" si="213"/>
        <v>0</v>
      </c>
      <c r="CP177" s="68">
        <f t="shared" si="214"/>
        <v>0.43928729614546391</v>
      </c>
      <c r="CQ177" s="68">
        <f t="shared" si="215"/>
        <v>1.0027157713556663</v>
      </c>
      <c r="CR177" s="68">
        <f t="shared" si="216"/>
        <v>0</v>
      </c>
      <c r="CS177" s="68">
        <f t="shared" si="217"/>
        <v>0.48899531699999998</v>
      </c>
      <c r="CT177" s="68">
        <f t="shared" si="198"/>
        <v>0.23911642</v>
      </c>
      <c r="CU177" s="68">
        <f t="shared" si="218"/>
        <v>0</v>
      </c>
      <c r="CV177" s="68">
        <f t="shared" si="219"/>
        <v>0</v>
      </c>
      <c r="CW177" s="68">
        <f t="shared" si="220"/>
        <v>0</v>
      </c>
      <c r="CX177" s="68">
        <f t="shared" si="221"/>
        <v>0</v>
      </c>
      <c r="CY177" s="68">
        <f t="shared" si="222"/>
        <v>0</v>
      </c>
      <c r="CZ177" s="68" t="e">
        <f t="shared" si="223"/>
        <v>#DIV/0!</v>
      </c>
      <c r="DA177" s="68" t="e">
        <f t="shared" si="224"/>
        <v>#DIV/0!</v>
      </c>
      <c r="DB177" s="68" t="e">
        <f t="shared" si="225"/>
        <v>#DIV/0!</v>
      </c>
      <c r="DC177" s="68" t="e">
        <f t="shared" si="226"/>
        <v>#DIV/0!</v>
      </c>
      <c r="DD177" s="68" t="e">
        <f t="shared" si="227"/>
        <v>#DIV/0!</v>
      </c>
      <c r="DE177" s="68" t="e">
        <f t="shared" si="228"/>
        <v>#DIV/0!</v>
      </c>
      <c r="DF177" s="68" t="e">
        <f t="shared" si="199"/>
        <v>#DIV/0!</v>
      </c>
      <c r="DG177" s="68">
        <f t="shared" si="229"/>
        <v>0.45480516874807669</v>
      </c>
      <c r="DH177" s="68">
        <f t="shared" si="230"/>
        <v>1.3986079121535113</v>
      </c>
      <c r="DI177" s="68">
        <f t="shared" si="231"/>
        <v>0</v>
      </c>
      <c r="DJ177" s="68" t="e">
        <f t="shared" si="232"/>
        <v>#DIV/0!</v>
      </c>
      <c r="DK177" s="68" t="e">
        <f t="shared" si="233"/>
        <v>#DIV/0!</v>
      </c>
      <c r="DL177" s="68" t="e">
        <f t="shared" si="234"/>
        <v>#DIV/0!</v>
      </c>
      <c r="DM177" s="68" t="e">
        <f t="shared" si="235"/>
        <v>#DIV/0!</v>
      </c>
      <c r="DN177" s="68" t="e">
        <f t="shared" si="236"/>
        <v>#DIV/0!</v>
      </c>
      <c r="DO177" s="68" t="e">
        <f t="shared" si="237"/>
        <v>#DIV/0!</v>
      </c>
      <c r="DP177" s="68" t="e">
        <f t="shared" si="238"/>
        <v>#DIV/0!</v>
      </c>
      <c r="DQ177" s="68" t="e">
        <f t="shared" si="239"/>
        <v>#DIV/0!</v>
      </c>
      <c r="DR177" s="68" t="e">
        <f t="shared" si="240"/>
        <v>#DIV/0!</v>
      </c>
      <c r="DS177" s="68" t="e">
        <f t="shared" si="241"/>
        <v>#DIV/0!</v>
      </c>
      <c r="DT177" s="68" t="e">
        <f t="shared" si="242"/>
        <v>#DIV/0!</v>
      </c>
      <c r="DU177" s="68" t="e">
        <f t="shared" si="200"/>
        <v>#DIV/0!</v>
      </c>
      <c r="DV177" s="68" t="e">
        <f t="shared" si="243"/>
        <v>#DIV/0!</v>
      </c>
      <c r="DW177" s="68" t="e">
        <f t="shared" si="201"/>
        <v>#DIV/0!</v>
      </c>
      <c r="DX177" s="68">
        <f t="shared" si="244"/>
        <v>26.05841667</v>
      </c>
      <c r="DY177" s="68">
        <f t="shared" si="245"/>
        <v>80.134330559999995</v>
      </c>
      <c r="DZ177" s="68" t="e">
        <f t="shared" si="246"/>
        <v>#DIV/0!</v>
      </c>
      <c r="EA177" s="68" t="e">
        <f t="shared" si="247"/>
        <v>#DIV/0!</v>
      </c>
      <c r="EB177" s="68" t="e">
        <f t="shared" si="248"/>
        <v>#DIV/0!</v>
      </c>
      <c r="EC177" s="68" t="e">
        <f t="shared" si="249"/>
        <v>#DIV/0!</v>
      </c>
      <c r="ED177" s="68" t="e">
        <f t="shared" si="250"/>
        <v>#DIV/0!</v>
      </c>
      <c r="EE177" s="68" t="e">
        <f t="shared" si="251"/>
        <v>#DIV/0!</v>
      </c>
      <c r="EF177" s="68" t="e">
        <f t="shared" si="252"/>
        <v>#DIV/0!</v>
      </c>
      <c r="EG177" s="68" t="e">
        <f t="shared" si="253"/>
        <v>#DIV/0!</v>
      </c>
      <c r="EH177" s="68" t="e">
        <f t="shared" si="202"/>
        <v>#DIV/0!</v>
      </c>
      <c r="EI177" s="68" t="e">
        <f t="shared" si="254"/>
        <v>#DIV/0!</v>
      </c>
      <c r="EJ177" s="68" t="e">
        <f t="shared" si="255"/>
        <v>#DIV/0!</v>
      </c>
      <c r="EK177" s="68" t="e">
        <f t="shared" si="256"/>
        <v>#DIV/0!</v>
      </c>
      <c r="EL177" s="68" t="e">
        <f t="shared" si="257"/>
        <v>#DIV/0!</v>
      </c>
      <c r="EM177" s="68" t="e">
        <f t="shared" si="258"/>
        <v>#DIV/0!</v>
      </c>
      <c r="EN177" s="68" t="e">
        <f t="shared" si="259"/>
        <v>#DIV/0!</v>
      </c>
      <c r="EO177" s="68" t="e">
        <f t="shared" si="260"/>
        <v>#DIV/0!</v>
      </c>
      <c r="EP177" s="68" t="e">
        <f t="shared" si="261"/>
        <v>#DIV/0!</v>
      </c>
      <c r="EQ177" s="68" t="e">
        <f t="shared" si="262"/>
        <v>#DIV/0!</v>
      </c>
      <c r="ER177" s="68" t="e">
        <f t="shared" si="203"/>
        <v>#DIV/0!</v>
      </c>
    </row>
    <row r="178" spans="82:148" x14ac:dyDescent="0.25">
      <c r="CD178" s="68" t="s">
        <v>701</v>
      </c>
      <c r="CE178" s="69">
        <f t="shared" si="196"/>
        <v>260330.3</v>
      </c>
      <c r="CF178" s="69">
        <f t="shared" si="197"/>
        <v>800803.59</v>
      </c>
      <c r="CG178" s="70">
        <f t="shared" si="205"/>
        <v>0</v>
      </c>
      <c r="CH178" s="69">
        <f t="shared" si="206"/>
        <v>260330.30001199999</v>
      </c>
      <c r="CI178" s="69">
        <f t="shared" si="207"/>
        <v>800803.59001599997</v>
      </c>
      <c r="CJ178" s="68">
        <f t="shared" si="208"/>
        <v>26.05841667</v>
      </c>
      <c r="CK178" s="68">
        <f t="shared" si="209"/>
        <v>80.134330559999995</v>
      </c>
      <c r="CL178" s="68">
        <f t="shared" si="210"/>
        <v>26.05841667</v>
      </c>
      <c r="CM178" s="68">
        <f t="shared" si="211"/>
        <v>80.134330559999995</v>
      </c>
      <c r="CN178" s="68">
        <f t="shared" si="212"/>
        <v>0</v>
      </c>
      <c r="CO178" s="68">
        <f t="shared" si="213"/>
        <v>0</v>
      </c>
      <c r="CP178" s="68">
        <f t="shared" si="214"/>
        <v>0.43928729614546391</v>
      </c>
      <c r="CQ178" s="68">
        <f t="shared" si="215"/>
        <v>1.0027157713556663</v>
      </c>
      <c r="CR178" s="68">
        <f t="shared" si="216"/>
        <v>0</v>
      </c>
      <c r="CS178" s="68">
        <f t="shared" si="217"/>
        <v>0.48899531699999998</v>
      </c>
      <c r="CT178" s="68">
        <f t="shared" si="198"/>
        <v>0.23911642</v>
      </c>
      <c r="CU178" s="68">
        <f t="shared" si="218"/>
        <v>0</v>
      </c>
      <c r="CV178" s="68">
        <f t="shared" si="219"/>
        <v>0</v>
      </c>
      <c r="CW178" s="68">
        <f t="shared" si="220"/>
        <v>0</v>
      </c>
      <c r="CX178" s="68">
        <f t="shared" si="221"/>
        <v>0</v>
      </c>
      <c r="CY178" s="68">
        <f t="shared" si="222"/>
        <v>0</v>
      </c>
      <c r="CZ178" s="68" t="e">
        <f t="shared" si="223"/>
        <v>#DIV/0!</v>
      </c>
      <c r="DA178" s="68" t="e">
        <f t="shared" si="224"/>
        <v>#DIV/0!</v>
      </c>
      <c r="DB178" s="68" t="e">
        <f t="shared" si="225"/>
        <v>#DIV/0!</v>
      </c>
      <c r="DC178" s="68" t="e">
        <f t="shared" si="226"/>
        <v>#DIV/0!</v>
      </c>
      <c r="DD178" s="68" t="e">
        <f t="shared" si="227"/>
        <v>#DIV/0!</v>
      </c>
      <c r="DE178" s="68" t="e">
        <f t="shared" si="228"/>
        <v>#DIV/0!</v>
      </c>
      <c r="DF178" s="68" t="e">
        <f t="shared" si="199"/>
        <v>#DIV/0!</v>
      </c>
      <c r="DG178" s="68">
        <f t="shared" si="229"/>
        <v>0.45480516874807669</v>
      </c>
      <c r="DH178" s="68">
        <f t="shared" si="230"/>
        <v>1.3986079121535113</v>
      </c>
      <c r="DI178" s="68">
        <f t="shared" si="231"/>
        <v>0</v>
      </c>
      <c r="DJ178" s="68" t="e">
        <f t="shared" si="232"/>
        <v>#DIV/0!</v>
      </c>
      <c r="DK178" s="68" t="e">
        <f t="shared" si="233"/>
        <v>#DIV/0!</v>
      </c>
      <c r="DL178" s="68" t="e">
        <f t="shared" si="234"/>
        <v>#DIV/0!</v>
      </c>
      <c r="DM178" s="68" t="e">
        <f t="shared" si="235"/>
        <v>#DIV/0!</v>
      </c>
      <c r="DN178" s="68" t="e">
        <f t="shared" si="236"/>
        <v>#DIV/0!</v>
      </c>
      <c r="DO178" s="68" t="e">
        <f t="shared" si="237"/>
        <v>#DIV/0!</v>
      </c>
      <c r="DP178" s="68" t="e">
        <f t="shared" si="238"/>
        <v>#DIV/0!</v>
      </c>
      <c r="DQ178" s="68" t="e">
        <f t="shared" si="239"/>
        <v>#DIV/0!</v>
      </c>
      <c r="DR178" s="68" t="e">
        <f t="shared" si="240"/>
        <v>#DIV/0!</v>
      </c>
      <c r="DS178" s="68" t="e">
        <f t="shared" si="241"/>
        <v>#DIV/0!</v>
      </c>
      <c r="DT178" s="68" t="e">
        <f t="shared" si="242"/>
        <v>#DIV/0!</v>
      </c>
      <c r="DU178" s="68" t="e">
        <f t="shared" si="200"/>
        <v>#DIV/0!</v>
      </c>
      <c r="DV178" s="68" t="e">
        <f t="shared" si="243"/>
        <v>#DIV/0!</v>
      </c>
      <c r="DW178" s="68" t="e">
        <f t="shared" si="201"/>
        <v>#DIV/0!</v>
      </c>
      <c r="DX178" s="68">
        <f t="shared" si="244"/>
        <v>26.05841667</v>
      </c>
      <c r="DY178" s="68">
        <f t="shared" si="245"/>
        <v>80.134330559999995</v>
      </c>
      <c r="DZ178" s="68" t="e">
        <f t="shared" si="246"/>
        <v>#DIV/0!</v>
      </c>
      <c r="EA178" s="68" t="e">
        <f t="shared" si="247"/>
        <v>#DIV/0!</v>
      </c>
      <c r="EB178" s="68" t="e">
        <f t="shared" si="248"/>
        <v>#DIV/0!</v>
      </c>
      <c r="EC178" s="68" t="e">
        <f t="shared" si="249"/>
        <v>#DIV/0!</v>
      </c>
      <c r="ED178" s="68" t="e">
        <f t="shared" si="250"/>
        <v>#DIV/0!</v>
      </c>
      <c r="EE178" s="68" t="e">
        <f t="shared" si="251"/>
        <v>#DIV/0!</v>
      </c>
      <c r="EF178" s="68" t="e">
        <f t="shared" si="252"/>
        <v>#DIV/0!</v>
      </c>
      <c r="EG178" s="68" t="e">
        <f t="shared" si="253"/>
        <v>#DIV/0!</v>
      </c>
      <c r="EH178" s="68" t="e">
        <f t="shared" si="202"/>
        <v>#DIV/0!</v>
      </c>
      <c r="EI178" s="68" t="e">
        <f t="shared" si="254"/>
        <v>#DIV/0!</v>
      </c>
      <c r="EJ178" s="68" t="e">
        <f t="shared" si="255"/>
        <v>#DIV/0!</v>
      </c>
      <c r="EK178" s="68" t="e">
        <f t="shared" si="256"/>
        <v>#DIV/0!</v>
      </c>
      <c r="EL178" s="68" t="e">
        <f t="shared" si="257"/>
        <v>#DIV/0!</v>
      </c>
      <c r="EM178" s="68" t="e">
        <f t="shared" si="258"/>
        <v>#DIV/0!</v>
      </c>
      <c r="EN178" s="68" t="e">
        <f t="shared" si="259"/>
        <v>#DIV/0!</v>
      </c>
      <c r="EO178" s="68" t="e">
        <f t="shared" si="260"/>
        <v>#DIV/0!</v>
      </c>
      <c r="EP178" s="68" t="e">
        <f t="shared" si="261"/>
        <v>#DIV/0!</v>
      </c>
      <c r="EQ178" s="68" t="e">
        <f t="shared" si="262"/>
        <v>#DIV/0!</v>
      </c>
      <c r="ER178" s="68" t="e">
        <f t="shared" si="203"/>
        <v>#DIV/0!</v>
      </c>
    </row>
    <row r="179" spans="82:148" x14ac:dyDescent="0.25">
      <c r="CD179" s="68" t="s">
        <v>702</v>
      </c>
      <c r="CE179" s="69">
        <f t="shared" si="196"/>
        <v>260330.3</v>
      </c>
      <c r="CF179" s="69">
        <f t="shared" si="197"/>
        <v>800803.59</v>
      </c>
      <c r="CG179" s="70">
        <f t="shared" si="205"/>
        <v>0</v>
      </c>
      <c r="CH179" s="69">
        <f t="shared" si="206"/>
        <v>260330.30001199999</v>
      </c>
      <c r="CI179" s="69">
        <f t="shared" si="207"/>
        <v>800803.59001599997</v>
      </c>
      <c r="CJ179" s="68">
        <f t="shared" si="208"/>
        <v>26.05841667</v>
      </c>
      <c r="CK179" s="68">
        <f t="shared" si="209"/>
        <v>80.134330559999995</v>
      </c>
      <c r="CL179" s="68">
        <f t="shared" si="210"/>
        <v>26.05841667</v>
      </c>
      <c r="CM179" s="68">
        <f t="shared" si="211"/>
        <v>80.134330559999995</v>
      </c>
      <c r="CN179" s="68">
        <f t="shared" si="212"/>
        <v>0</v>
      </c>
      <c r="CO179" s="68">
        <f t="shared" si="213"/>
        <v>0</v>
      </c>
      <c r="CP179" s="68">
        <f t="shared" si="214"/>
        <v>0.43928729614546391</v>
      </c>
      <c r="CQ179" s="68">
        <f t="shared" si="215"/>
        <v>1.0027157713556663</v>
      </c>
      <c r="CR179" s="68">
        <f t="shared" si="216"/>
        <v>0</v>
      </c>
      <c r="CS179" s="68">
        <f t="shared" si="217"/>
        <v>0.48899531699999998</v>
      </c>
      <c r="CT179" s="68">
        <f t="shared" si="198"/>
        <v>0.23911642</v>
      </c>
      <c r="CU179" s="68">
        <f t="shared" si="218"/>
        <v>0</v>
      </c>
      <c r="CV179" s="68">
        <f t="shared" si="219"/>
        <v>0</v>
      </c>
      <c r="CW179" s="68">
        <f t="shared" si="220"/>
        <v>0</v>
      </c>
      <c r="CX179" s="68">
        <f t="shared" si="221"/>
        <v>0</v>
      </c>
      <c r="CY179" s="68">
        <f t="shared" si="222"/>
        <v>0</v>
      </c>
      <c r="CZ179" s="68" t="e">
        <f t="shared" si="223"/>
        <v>#DIV/0!</v>
      </c>
      <c r="DA179" s="68" t="e">
        <f t="shared" si="224"/>
        <v>#DIV/0!</v>
      </c>
      <c r="DB179" s="68" t="e">
        <f t="shared" si="225"/>
        <v>#DIV/0!</v>
      </c>
      <c r="DC179" s="68" t="e">
        <f t="shared" si="226"/>
        <v>#DIV/0!</v>
      </c>
      <c r="DD179" s="68" t="e">
        <f t="shared" si="227"/>
        <v>#DIV/0!</v>
      </c>
      <c r="DE179" s="68" t="e">
        <f t="shared" si="228"/>
        <v>#DIV/0!</v>
      </c>
      <c r="DF179" s="68" t="e">
        <f t="shared" si="199"/>
        <v>#DIV/0!</v>
      </c>
      <c r="DG179" s="68">
        <f t="shared" si="229"/>
        <v>0.45480516874807669</v>
      </c>
      <c r="DH179" s="68">
        <f t="shared" si="230"/>
        <v>1.3986079121535113</v>
      </c>
      <c r="DI179" s="68">
        <f t="shared" si="231"/>
        <v>0</v>
      </c>
      <c r="DJ179" s="68" t="e">
        <f t="shared" si="232"/>
        <v>#DIV/0!</v>
      </c>
      <c r="DK179" s="68" t="e">
        <f t="shared" si="233"/>
        <v>#DIV/0!</v>
      </c>
      <c r="DL179" s="68" t="e">
        <f t="shared" si="234"/>
        <v>#DIV/0!</v>
      </c>
      <c r="DM179" s="68" t="e">
        <f t="shared" si="235"/>
        <v>#DIV/0!</v>
      </c>
      <c r="DN179" s="68" t="e">
        <f t="shared" si="236"/>
        <v>#DIV/0!</v>
      </c>
      <c r="DO179" s="68" t="e">
        <f t="shared" si="237"/>
        <v>#DIV/0!</v>
      </c>
      <c r="DP179" s="68" t="e">
        <f t="shared" si="238"/>
        <v>#DIV/0!</v>
      </c>
      <c r="DQ179" s="68" t="e">
        <f t="shared" si="239"/>
        <v>#DIV/0!</v>
      </c>
      <c r="DR179" s="68" t="e">
        <f t="shared" si="240"/>
        <v>#DIV/0!</v>
      </c>
      <c r="DS179" s="68" t="e">
        <f t="shared" si="241"/>
        <v>#DIV/0!</v>
      </c>
      <c r="DT179" s="68" t="e">
        <f t="shared" si="242"/>
        <v>#DIV/0!</v>
      </c>
      <c r="DU179" s="68" t="e">
        <f t="shared" si="200"/>
        <v>#DIV/0!</v>
      </c>
      <c r="DV179" s="68" t="e">
        <f t="shared" si="243"/>
        <v>#DIV/0!</v>
      </c>
      <c r="DW179" s="68" t="e">
        <f t="shared" si="201"/>
        <v>#DIV/0!</v>
      </c>
      <c r="DX179" s="68">
        <f t="shared" si="244"/>
        <v>26.05841667</v>
      </c>
      <c r="DY179" s="68">
        <f t="shared" si="245"/>
        <v>80.134330559999995</v>
      </c>
      <c r="DZ179" s="68" t="e">
        <f t="shared" si="246"/>
        <v>#DIV/0!</v>
      </c>
      <c r="EA179" s="68" t="e">
        <f t="shared" si="247"/>
        <v>#DIV/0!</v>
      </c>
      <c r="EB179" s="68" t="e">
        <f t="shared" si="248"/>
        <v>#DIV/0!</v>
      </c>
      <c r="EC179" s="68" t="e">
        <f t="shared" si="249"/>
        <v>#DIV/0!</v>
      </c>
      <c r="ED179" s="68" t="e">
        <f t="shared" si="250"/>
        <v>#DIV/0!</v>
      </c>
      <c r="EE179" s="68" t="e">
        <f t="shared" si="251"/>
        <v>#DIV/0!</v>
      </c>
      <c r="EF179" s="68" t="e">
        <f t="shared" si="252"/>
        <v>#DIV/0!</v>
      </c>
      <c r="EG179" s="68" t="e">
        <f t="shared" si="253"/>
        <v>#DIV/0!</v>
      </c>
      <c r="EH179" s="68" t="e">
        <f t="shared" si="202"/>
        <v>#DIV/0!</v>
      </c>
      <c r="EI179" s="68" t="e">
        <f t="shared" si="254"/>
        <v>#DIV/0!</v>
      </c>
      <c r="EJ179" s="68" t="e">
        <f t="shared" si="255"/>
        <v>#DIV/0!</v>
      </c>
      <c r="EK179" s="68" t="e">
        <f t="shared" si="256"/>
        <v>#DIV/0!</v>
      </c>
      <c r="EL179" s="68" t="e">
        <f t="shared" si="257"/>
        <v>#DIV/0!</v>
      </c>
      <c r="EM179" s="68" t="e">
        <f t="shared" si="258"/>
        <v>#DIV/0!</v>
      </c>
      <c r="EN179" s="68" t="e">
        <f t="shared" si="259"/>
        <v>#DIV/0!</v>
      </c>
      <c r="EO179" s="68" t="e">
        <f t="shared" si="260"/>
        <v>#DIV/0!</v>
      </c>
      <c r="EP179" s="68" t="e">
        <f t="shared" si="261"/>
        <v>#DIV/0!</v>
      </c>
      <c r="EQ179" s="68" t="e">
        <f t="shared" si="262"/>
        <v>#DIV/0!</v>
      </c>
      <c r="ER179" s="68" t="e">
        <f t="shared" si="203"/>
        <v>#DIV/0!</v>
      </c>
    </row>
    <row r="180" spans="82:148" x14ac:dyDescent="0.25">
      <c r="CD180" s="68" t="s">
        <v>703</v>
      </c>
      <c r="CE180" s="69">
        <f t="shared" si="196"/>
        <v>260330.3</v>
      </c>
      <c r="CF180" s="69">
        <f t="shared" si="197"/>
        <v>800803.59</v>
      </c>
      <c r="CG180" s="70">
        <f t="shared" si="205"/>
        <v>0</v>
      </c>
      <c r="CH180" s="69">
        <f t="shared" si="206"/>
        <v>260330.30001199999</v>
      </c>
      <c r="CI180" s="69">
        <f t="shared" si="207"/>
        <v>800803.59001599997</v>
      </c>
      <c r="CJ180" s="68">
        <f t="shared" si="208"/>
        <v>26.05841667</v>
      </c>
      <c r="CK180" s="68">
        <f t="shared" si="209"/>
        <v>80.134330559999995</v>
      </c>
      <c r="CL180" s="68">
        <f t="shared" si="210"/>
        <v>26.05841667</v>
      </c>
      <c r="CM180" s="68">
        <f t="shared" si="211"/>
        <v>80.134330559999995</v>
      </c>
      <c r="CN180" s="68">
        <f t="shared" si="212"/>
        <v>0</v>
      </c>
      <c r="CO180" s="68">
        <f t="shared" si="213"/>
        <v>0</v>
      </c>
      <c r="CP180" s="68">
        <f t="shared" si="214"/>
        <v>0.43928729614546391</v>
      </c>
      <c r="CQ180" s="68">
        <f t="shared" si="215"/>
        <v>1.0027157713556663</v>
      </c>
      <c r="CR180" s="68">
        <f t="shared" si="216"/>
        <v>0</v>
      </c>
      <c r="CS180" s="68">
        <f t="shared" si="217"/>
        <v>0.48899531699999998</v>
      </c>
      <c r="CT180" s="68">
        <f t="shared" si="198"/>
        <v>0.23911642</v>
      </c>
      <c r="CU180" s="68">
        <f t="shared" si="218"/>
        <v>0</v>
      </c>
      <c r="CV180" s="68">
        <f t="shared" si="219"/>
        <v>0</v>
      </c>
      <c r="CW180" s="68">
        <f t="shared" si="220"/>
        <v>0</v>
      </c>
      <c r="CX180" s="68">
        <f t="shared" si="221"/>
        <v>0</v>
      </c>
      <c r="CY180" s="68">
        <f t="shared" si="222"/>
        <v>0</v>
      </c>
      <c r="CZ180" s="68" t="e">
        <f t="shared" si="223"/>
        <v>#DIV/0!</v>
      </c>
      <c r="DA180" s="68" t="e">
        <f t="shared" si="224"/>
        <v>#DIV/0!</v>
      </c>
      <c r="DB180" s="68" t="e">
        <f t="shared" si="225"/>
        <v>#DIV/0!</v>
      </c>
      <c r="DC180" s="68" t="e">
        <f t="shared" si="226"/>
        <v>#DIV/0!</v>
      </c>
      <c r="DD180" s="68" t="e">
        <f t="shared" si="227"/>
        <v>#DIV/0!</v>
      </c>
      <c r="DE180" s="68" t="e">
        <f t="shared" si="228"/>
        <v>#DIV/0!</v>
      </c>
      <c r="DF180" s="68" t="e">
        <f t="shared" si="199"/>
        <v>#DIV/0!</v>
      </c>
      <c r="DG180" s="68">
        <f t="shared" si="229"/>
        <v>0.45480516874807669</v>
      </c>
      <c r="DH180" s="68">
        <f t="shared" si="230"/>
        <v>1.3986079121535113</v>
      </c>
      <c r="DI180" s="68">
        <f t="shared" si="231"/>
        <v>0</v>
      </c>
      <c r="DJ180" s="68" t="e">
        <f t="shared" si="232"/>
        <v>#DIV/0!</v>
      </c>
      <c r="DK180" s="68" t="e">
        <f t="shared" si="233"/>
        <v>#DIV/0!</v>
      </c>
      <c r="DL180" s="68" t="e">
        <f t="shared" si="234"/>
        <v>#DIV/0!</v>
      </c>
      <c r="DM180" s="68" t="e">
        <f t="shared" si="235"/>
        <v>#DIV/0!</v>
      </c>
      <c r="DN180" s="68" t="e">
        <f t="shared" si="236"/>
        <v>#DIV/0!</v>
      </c>
      <c r="DO180" s="68" t="e">
        <f t="shared" si="237"/>
        <v>#DIV/0!</v>
      </c>
      <c r="DP180" s="68" t="e">
        <f t="shared" si="238"/>
        <v>#DIV/0!</v>
      </c>
      <c r="DQ180" s="68" t="e">
        <f t="shared" si="239"/>
        <v>#DIV/0!</v>
      </c>
      <c r="DR180" s="68" t="e">
        <f t="shared" si="240"/>
        <v>#DIV/0!</v>
      </c>
      <c r="DS180" s="68" t="e">
        <f t="shared" si="241"/>
        <v>#DIV/0!</v>
      </c>
      <c r="DT180" s="68" t="e">
        <f t="shared" si="242"/>
        <v>#DIV/0!</v>
      </c>
      <c r="DU180" s="68" t="e">
        <f t="shared" si="200"/>
        <v>#DIV/0!</v>
      </c>
      <c r="DV180" s="68" t="e">
        <f t="shared" si="243"/>
        <v>#DIV/0!</v>
      </c>
      <c r="DW180" s="68" t="e">
        <f t="shared" si="201"/>
        <v>#DIV/0!</v>
      </c>
      <c r="DX180" s="68">
        <f t="shared" si="244"/>
        <v>26.05841667</v>
      </c>
      <c r="DY180" s="68">
        <f t="shared" si="245"/>
        <v>80.134330559999995</v>
      </c>
      <c r="DZ180" s="68" t="e">
        <f t="shared" si="246"/>
        <v>#DIV/0!</v>
      </c>
      <c r="EA180" s="68" t="e">
        <f t="shared" si="247"/>
        <v>#DIV/0!</v>
      </c>
      <c r="EB180" s="68" t="e">
        <f t="shared" si="248"/>
        <v>#DIV/0!</v>
      </c>
      <c r="EC180" s="68" t="e">
        <f t="shared" si="249"/>
        <v>#DIV/0!</v>
      </c>
      <c r="ED180" s="68" t="e">
        <f t="shared" si="250"/>
        <v>#DIV/0!</v>
      </c>
      <c r="EE180" s="68" t="e">
        <f t="shared" si="251"/>
        <v>#DIV/0!</v>
      </c>
      <c r="EF180" s="68" t="e">
        <f t="shared" si="252"/>
        <v>#DIV/0!</v>
      </c>
      <c r="EG180" s="68" t="e">
        <f t="shared" si="253"/>
        <v>#DIV/0!</v>
      </c>
      <c r="EH180" s="68" t="e">
        <f t="shared" si="202"/>
        <v>#DIV/0!</v>
      </c>
      <c r="EI180" s="68" t="e">
        <f t="shared" si="254"/>
        <v>#DIV/0!</v>
      </c>
      <c r="EJ180" s="68" t="e">
        <f t="shared" si="255"/>
        <v>#DIV/0!</v>
      </c>
      <c r="EK180" s="68" t="e">
        <f t="shared" si="256"/>
        <v>#DIV/0!</v>
      </c>
      <c r="EL180" s="68" t="e">
        <f t="shared" si="257"/>
        <v>#DIV/0!</v>
      </c>
      <c r="EM180" s="68" t="e">
        <f t="shared" si="258"/>
        <v>#DIV/0!</v>
      </c>
      <c r="EN180" s="68" t="e">
        <f t="shared" si="259"/>
        <v>#DIV/0!</v>
      </c>
      <c r="EO180" s="68" t="e">
        <f t="shared" si="260"/>
        <v>#DIV/0!</v>
      </c>
      <c r="EP180" s="68" t="e">
        <f t="shared" si="261"/>
        <v>#DIV/0!</v>
      </c>
      <c r="EQ180" s="68" t="e">
        <f t="shared" si="262"/>
        <v>#DIV/0!</v>
      </c>
      <c r="ER180" s="68" t="e">
        <f t="shared" si="203"/>
        <v>#DIV/0!</v>
      </c>
    </row>
    <row r="181" spans="82:148" x14ac:dyDescent="0.25">
      <c r="CD181" s="68" t="s">
        <v>704</v>
      </c>
      <c r="CE181" s="69">
        <f t="shared" si="196"/>
        <v>260330.3</v>
      </c>
      <c r="CF181" s="69">
        <f t="shared" si="197"/>
        <v>800803.59</v>
      </c>
      <c r="CG181" s="70">
        <f t="shared" si="205"/>
        <v>0</v>
      </c>
      <c r="CH181" s="69">
        <f t="shared" si="206"/>
        <v>260330.30001199999</v>
      </c>
      <c r="CI181" s="69">
        <f t="shared" si="207"/>
        <v>800803.59001599997</v>
      </c>
      <c r="CJ181" s="68">
        <f t="shared" si="208"/>
        <v>26.05841667</v>
      </c>
      <c r="CK181" s="68">
        <f t="shared" si="209"/>
        <v>80.134330559999995</v>
      </c>
      <c r="CL181" s="68">
        <f t="shared" si="210"/>
        <v>26.05841667</v>
      </c>
      <c r="CM181" s="68">
        <f t="shared" si="211"/>
        <v>80.134330559999995</v>
      </c>
      <c r="CN181" s="68">
        <f t="shared" si="212"/>
        <v>0</v>
      </c>
      <c r="CO181" s="68">
        <f t="shared" si="213"/>
        <v>0</v>
      </c>
      <c r="CP181" s="68">
        <f t="shared" si="214"/>
        <v>0.43928729614546391</v>
      </c>
      <c r="CQ181" s="68">
        <f t="shared" si="215"/>
        <v>1.0027157713556663</v>
      </c>
      <c r="CR181" s="68">
        <f t="shared" si="216"/>
        <v>0</v>
      </c>
      <c r="CS181" s="68">
        <f t="shared" si="217"/>
        <v>0.48899531699999998</v>
      </c>
      <c r="CT181" s="68">
        <f t="shared" si="198"/>
        <v>0.23911642</v>
      </c>
      <c r="CU181" s="68">
        <f t="shared" si="218"/>
        <v>0</v>
      </c>
      <c r="CV181" s="68">
        <f t="shared" si="219"/>
        <v>0</v>
      </c>
      <c r="CW181" s="68">
        <f t="shared" si="220"/>
        <v>0</v>
      </c>
      <c r="CX181" s="68">
        <f t="shared" si="221"/>
        <v>0</v>
      </c>
      <c r="CY181" s="68">
        <f t="shared" si="222"/>
        <v>0</v>
      </c>
      <c r="CZ181" s="68" t="e">
        <f t="shared" si="223"/>
        <v>#DIV/0!</v>
      </c>
      <c r="DA181" s="68" t="e">
        <f t="shared" si="224"/>
        <v>#DIV/0!</v>
      </c>
      <c r="DB181" s="68" t="e">
        <f t="shared" si="225"/>
        <v>#DIV/0!</v>
      </c>
      <c r="DC181" s="68" t="e">
        <f t="shared" si="226"/>
        <v>#DIV/0!</v>
      </c>
      <c r="DD181" s="68" t="e">
        <f t="shared" si="227"/>
        <v>#DIV/0!</v>
      </c>
      <c r="DE181" s="68" t="e">
        <f t="shared" si="228"/>
        <v>#DIV/0!</v>
      </c>
      <c r="DF181" s="68" t="e">
        <f t="shared" si="199"/>
        <v>#DIV/0!</v>
      </c>
      <c r="DG181" s="68">
        <f t="shared" si="229"/>
        <v>0.45480516874807669</v>
      </c>
      <c r="DH181" s="68">
        <f t="shared" si="230"/>
        <v>1.3986079121535113</v>
      </c>
      <c r="DI181" s="68">
        <f t="shared" si="231"/>
        <v>0</v>
      </c>
      <c r="DJ181" s="68" t="e">
        <f t="shared" si="232"/>
        <v>#DIV/0!</v>
      </c>
      <c r="DK181" s="68" t="e">
        <f t="shared" si="233"/>
        <v>#DIV/0!</v>
      </c>
      <c r="DL181" s="68" t="e">
        <f t="shared" si="234"/>
        <v>#DIV/0!</v>
      </c>
      <c r="DM181" s="68" t="e">
        <f t="shared" si="235"/>
        <v>#DIV/0!</v>
      </c>
      <c r="DN181" s="68" t="e">
        <f t="shared" si="236"/>
        <v>#DIV/0!</v>
      </c>
      <c r="DO181" s="68" t="e">
        <f t="shared" si="237"/>
        <v>#DIV/0!</v>
      </c>
      <c r="DP181" s="68" t="e">
        <f t="shared" si="238"/>
        <v>#DIV/0!</v>
      </c>
      <c r="DQ181" s="68" t="e">
        <f t="shared" si="239"/>
        <v>#DIV/0!</v>
      </c>
      <c r="DR181" s="68" t="e">
        <f t="shared" si="240"/>
        <v>#DIV/0!</v>
      </c>
      <c r="DS181" s="68" t="e">
        <f t="shared" si="241"/>
        <v>#DIV/0!</v>
      </c>
      <c r="DT181" s="68" t="e">
        <f t="shared" si="242"/>
        <v>#DIV/0!</v>
      </c>
      <c r="DU181" s="68" t="e">
        <f t="shared" si="200"/>
        <v>#DIV/0!</v>
      </c>
      <c r="DV181" s="68" t="e">
        <f t="shared" si="243"/>
        <v>#DIV/0!</v>
      </c>
      <c r="DW181" s="68" t="e">
        <f t="shared" si="201"/>
        <v>#DIV/0!</v>
      </c>
      <c r="DX181" s="68">
        <f t="shared" si="244"/>
        <v>26.05841667</v>
      </c>
      <c r="DY181" s="68">
        <f t="shared" si="245"/>
        <v>80.134330559999995</v>
      </c>
      <c r="DZ181" s="68" t="e">
        <f t="shared" si="246"/>
        <v>#DIV/0!</v>
      </c>
      <c r="EA181" s="68" t="e">
        <f t="shared" si="247"/>
        <v>#DIV/0!</v>
      </c>
      <c r="EB181" s="68" t="e">
        <f t="shared" si="248"/>
        <v>#DIV/0!</v>
      </c>
      <c r="EC181" s="68" t="e">
        <f t="shared" si="249"/>
        <v>#DIV/0!</v>
      </c>
      <c r="ED181" s="68" t="e">
        <f t="shared" si="250"/>
        <v>#DIV/0!</v>
      </c>
      <c r="EE181" s="68" t="e">
        <f t="shared" si="251"/>
        <v>#DIV/0!</v>
      </c>
      <c r="EF181" s="68" t="e">
        <f t="shared" si="252"/>
        <v>#DIV/0!</v>
      </c>
      <c r="EG181" s="68" t="e">
        <f t="shared" si="253"/>
        <v>#DIV/0!</v>
      </c>
      <c r="EH181" s="68" t="e">
        <f t="shared" si="202"/>
        <v>#DIV/0!</v>
      </c>
      <c r="EI181" s="68" t="e">
        <f t="shared" si="254"/>
        <v>#DIV/0!</v>
      </c>
      <c r="EJ181" s="68" t="e">
        <f t="shared" si="255"/>
        <v>#DIV/0!</v>
      </c>
      <c r="EK181" s="68" t="e">
        <f t="shared" si="256"/>
        <v>#DIV/0!</v>
      </c>
      <c r="EL181" s="68" t="e">
        <f t="shared" si="257"/>
        <v>#DIV/0!</v>
      </c>
      <c r="EM181" s="68" t="e">
        <f t="shared" si="258"/>
        <v>#DIV/0!</v>
      </c>
      <c r="EN181" s="68" t="e">
        <f t="shared" si="259"/>
        <v>#DIV/0!</v>
      </c>
      <c r="EO181" s="68" t="e">
        <f t="shared" si="260"/>
        <v>#DIV/0!</v>
      </c>
      <c r="EP181" s="68" t="e">
        <f t="shared" si="261"/>
        <v>#DIV/0!</v>
      </c>
      <c r="EQ181" s="68" t="e">
        <f t="shared" si="262"/>
        <v>#DIV/0!</v>
      </c>
      <c r="ER181" s="68" t="e">
        <f t="shared" si="203"/>
        <v>#DIV/0!</v>
      </c>
    </row>
    <row r="182" spans="82:148" x14ac:dyDescent="0.25">
      <c r="CD182" s="68" t="s">
        <v>705</v>
      </c>
      <c r="CE182" s="69">
        <f t="shared" si="196"/>
        <v>260330.3</v>
      </c>
      <c r="CF182" s="69">
        <f t="shared" si="197"/>
        <v>800803.59</v>
      </c>
      <c r="CG182" s="70">
        <f t="shared" si="205"/>
        <v>0</v>
      </c>
      <c r="CH182" s="69">
        <f t="shared" si="206"/>
        <v>260330.30001199999</v>
      </c>
      <c r="CI182" s="69">
        <f t="shared" si="207"/>
        <v>800803.59001599997</v>
      </c>
      <c r="CJ182" s="68">
        <f t="shared" si="208"/>
        <v>26.05841667</v>
      </c>
      <c r="CK182" s="68">
        <f t="shared" si="209"/>
        <v>80.134330559999995</v>
      </c>
      <c r="CL182" s="68">
        <f t="shared" si="210"/>
        <v>26.05841667</v>
      </c>
      <c r="CM182" s="68">
        <f t="shared" si="211"/>
        <v>80.134330559999995</v>
      </c>
      <c r="CN182" s="68">
        <f t="shared" si="212"/>
        <v>0</v>
      </c>
      <c r="CO182" s="68">
        <f t="shared" si="213"/>
        <v>0</v>
      </c>
      <c r="CP182" s="68">
        <f t="shared" si="214"/>
        <v>0.43928729614546391</v>
      </c>
      <c r="CQ182" s="68">
        <f t="shared" si="215"/>
        <v>1.0027157713556663</v>
      </c>
      <c r="CR182" s="68">
        <f t="shared" si="216"/>
        <v>0</v>
      </c>
      <c r="CS182" s="68">
        <f t="shared" si="217"/>
        <v>0.48899531699999998</v>
      </c>
      <c r="CT182" s="68">
        <f t="shared" si="198"/>
        <v>0.23911642</v>
      </c>
      <c r="CU182" s="68">
        <f t="shared" si="218"/>
        <v>0</v>
      </c>
      <c r="CV182" s="68">
        <f t="shared" si="219"/>
        <v>0</v>
      </c>
      <c r="CW182" s="68">
        <f t="shared" si="220"/>
        <v>0</v>
      </c>
      <c r="CX182" s="68">
        <f t="shared" si="221"/>
        <v>0</v>
      </c>
      <c r="CY182" s="68">
        <f t="shared" si="222"/>
        <v>0</v>
      </c>
      <c r="CZ182" s="68" t="e">
        <f t="shared" si="223"/>
        <v>#DIV/0!</v>
      </c>
      <c r="DA182" s="68" t="e">
        <f t="shared" si="224"/>
        <v>#DIV/0!</v>
      </c>
      <c r="DB182" s="68" t="e">
        <f t="shared" si="225"/>
        <v>#DIV/0!</v>
      </c>
      <c r="DC182" s="68" t="e">
        <f t="shared" si="226"/>
        <v>#DIV/0!</v>
      </c>
      <c r="DD182" s="68" t="e">
        <f t="shared" si="227"/>
        <v>#DIV/0!</v>
      </c>
      <c r="DE182" s="68" t="e">
        <f t="shared" si="228"/>
        <v>#DIV/0!</v>
      </c>
      <c r="DF182" s="68" t="e">
        <f t="shared" si="199"/>
        <v>#DIV/0!</v>
      </c>
      <c r="DG182" s="68">
        <f t="shared" si="229"/>
        <v>0.45480516874807669</v>
      </c>
      <c r="DH182" s="68">
        <f t="shared" si="230"/>
        <v>1.3986079121535113</v>
      </c>
      <c r="DI182" s="68">
        <f t="shared" si="231"/>
        <v>0</v>
      </c>
      <c r="DJ182" s="68" t="e">
        <f t="shared" si="232"/>
        <v>#DIV/0!</v>
      </c>
      <c r="DK182" s="68" t="e">
        <f t="shared" si="233"/>
        <v>#DIV/0!</v>
      </c>
      <c r="DL182" s="68" t="e">
        <f t="shared" si="234"/>
        <v>#DIV/0!</v>
      </c>
      <c r="DM182" s="68" t="e">
        <f t="shared" si="235"/>
        <v>#DIV/0!</v>
      </c>
      <c r="DN182" s="68" t="e">
        <f t="shared" si="236"/>
        <v>#DIV/0!</v>
      </c>
      <c r="DO182" s="68" t="e">
        <f t="shared" si="237"/>
        <v>#DIV/0!</v>
      </c>
      <c r="DP182" s="68" t="e">
        <f t="shared" si="238"/>
        <v>#DIV/0!</v>
      </c>
      <c r="DQ182" s="68" t="e">
        <f t="shared" si="239"/>
        <v>#DIV/0!</v>
      </c>
      <c r="DR182" s="68" t="e">
        <f t="shared" si="240"/>
        <v>#DIV/0!</v>
      </c>
      <c r="DS182" s="68" t="e">
        <f t="shared" si="241"/>
        <v>#DIV/0!</v>
      </c>
      <c r="DT182" s="68" t="e">
        <f t="shared" si="242"/>
        <v>#DIV/0!</v>
      </c>
      <c r="DU182" s="68" t="e">
        <f t="shared" si="200"/>
        <v>#DIV/0!</v>
      </c>
      <c r="DV182" s="68" t="e">
        <f t="shared" si="243"/>
        <v>#DIV/0!</v>
      </c>
      <c r="DW182" s="68" t="e">
        <f t="shared" si="201"/>
        <v>#DIV/0!</v>
      </c>
      <c r="DX182" s="68">
        <f t="shared" si="244"/>
        <v>26.05841667</v>
      </c>
      <c r="DY182" s="68">
        <f t="shared" si="245"/>
        <v>80.134330559999995</v>
      </c>
      <c r="DZ182" s="68" t="e">
        <f t="shared" si="246"/>
        <v>#DIV/0!</v>
      </c>
      <c r="EA182" s="68" t="e">
        <f t="shared" si="247"/>
        <v>#DIV/0!</v>
      </c>
      <c r="EB182" s="68" t="e">
        <f t="shared" si="248"/>
        <v>#DIV/0!</v>
      </c>
      <c r="EC182" s="68" t="e">
        <f t="shared" si="249"/>
        <v>#DIV/0!</v>
      </c>
      <c r="ED182" s="68" t="e">
        <f t="shared" si="250"/>
        <v>#DIV/0!</v>
      </c>
      <c r="EE182" s="68" t="e">
        <f t="shared" si="251"/>
        <v>#DIV/0!</v>
      </c>
      <c r="EF182" s="68" t="e">
        <f t="shared" si="252"/>
        <v>#DIV/0!</v>
      </c>
      <c r="EG182" s="68" t="e">
        <f t="shared" si="253"/>
        <v>#DIV/0!</v>
      </c>
      <c r="EH182" s="68" t="e">
        <f t="shared" si="202"/>
        <v>#DIV/0!</v>
      </c>
      <c r="EI182" s="68" t="e">
        <f t="shared" si="254"/>
        <v>#DIV/0!</v>
      </c>
      <c r="EJ182" s="68" t="e">
        <f t="shared" si="255"/>
        <v>#DIV/0!</v>
      </c>
      <c r="EK182" s="68" t="e">
        <f t="shared" si="256"/>
        <v>#DIV/0!</v>
      </c>
      <c r="EL182" s="68" t="e">
        <f t="shared" si="257"/>
        <v>#DIV/0!</v>
      </c>
      <c r="EM182" s="68" t="e">
        <f t="shared" si="258"/>
        <v>#DIV/0!</v>
      </c>
      <c r="EN182" s="68" t="e">
        <f t="shared" si="259"/>
        <v>#DIV/0!</v>
      </c>
      <c r="EO182" s="68" t="e">
        <f t="shared" si="260"/>
        <v>#DIV/0!</v>
      </c>
      <c r="EP182" s="68" t="e">
        <f t="shared" si="261"/>
        <v>#DIV/0!</v>
      </c>
      <c r="EQ182" s="68" t="e">
        <f t="shared" si="262"/>
        <v>#DIV/0!</v>
      </c>
      <c r="ER182" s="68" t="e">
        <f t="shared" si="203"/>
        <v>#DIV/0!</v>
      </c>
    </row>
    <row r="183" spans="82:148" x14ac:dyDescent="0.25">
      <c r="CD183" s="68" t="s">
        <v>706</v>
      </c>
      <c r="CE183" s="69">
        <f t="shared" si="196"/>
        <v>260330.3</v>
      </c>
      <c r="CF183" s="69">
        <f t="shared" si="197"/>
        <v>800803.59</v>
      </c>
      <c r="CG183" s="70">
        <f t="shared" si="205"/>
        <v>0</v>
      </c>
      <c r="CH183" s="69">
        <f t="shared" si="206"/>
        <v>260330.30001199999</v>
      </c>
      <c r="CI183" s="69">
        <f t="shared" si="207"/>
        <v>800803.59001599997</v>
      </c>
      <c r="CJ183" s="68">
        <f t="shared" si="208"/>
        <v>26.05841667</v>
      </c>
      <c r="CK183" s="68">
        <f t="shared" si="209"/>
        <v>80.134330559999995</v>
      </c>
      <c r="CL183" s="68">
        <f t="shared" si="210"/>
        <v>26.05841667</v>
      </c>
      <c r="CM183" s="68">
        <f t="shared" si="211"/>
        <v>80.134330559999995</v>
      </c>
      <c r="CN183" s="68">
        <f t="shared" si="212"/>
        <v>0</v>
      </c>
      <c r="CO183" s="68">
        <f t="shared" si="213"/>
        <v>0</v>
      </c>
      <c r="CP183" s="68">
        <f t="shared" si="214"/>
        <v>0.43928729614546391</v>
      </c>
      <c r="CQ183" s="68">
        <f t="shared" si="215"/>
        <v>1.0027157713556663</v>
      </c>
      <c r="CR183" s="68">
        <f t="shared" si="216"/>
        <v>0</v>
      </c>
      <c r="CS183" s="68">
        <f t="shared" si="217"/>
        <v>0.48899531699999998</v>
      </c>
      <c r="CT183" s="68">
        <f t="shared" si="198"/>
        <v>0.23911642</v>
      </c>
      <c r="CU183" s="68">
        <f t="shared" si="218"/>
        <v>0</v>
      </c>
      <c r="CV183" s="68">
        <f t="shared" si="219"/>
        <v>0</v>
      </c>
      <c r="CW183" s="68">
        <f t="shared" si="220"/>
        <v>0</v>
      </c>
      <c r="CX183" s="68">
        <f t="shared" si="221"/>
        <v>0</v>
      </c>
      <c r="CY183" s="68">
        <f t="shared" si="222"/>
        <v>0</v>
      </c>
      <c r="CZ183" s="68" t="e">
        <f t="shared" si="223"/>
        <v>#DIV/0!</v>
      </c>
      <c r="DA183" s="68" t="e">
        <f t="shared" si="224"/>
        <v>#DIV/0!</v>
      </c>
      <c r="DB183" s="68" t="e">
        <f t="shared" si="225"/>
        <v>#DIV/0!</v>
      </c>
      <c r="DC183" s="68" t="e">
        <f t="shared" si="226"/>
        <v>#DIV/0!</v>
      </c>
      <c r="DD183" s="68" t="e">
        <f t="shared" si="227"/>
        <v>#DIV/0!</v>
      </c>
      <c r="DE183" s="68" t="e">
        <f t="shared" si="228"/>
        <v>#DIV/0!</v>
      </c>
      <c r="DF183" s="68" t="e">
        <f t="shared" si="199"/>
        <v>#DIV/0!</v>
      </c>
      <c r="DG183" s="68">
        <f t="shared" si="229"/>
        <v>0.45480516874807669</v>
      </c>
      <c r="DH183" s="68">
        <f t="shared" si="230"/>
        <v>1.3986079121535113</v>
      </c>
      <c r="DI183" s="68">
        <f t="shared" si="231"/>
        <v>0</v>
      </c>
      <c r="DJ183" s="68" t="e">
        <f t="shared" si="232"/>
        <v>#DIV/0!</v>
      </c>
      <c r="DK183" s="68" t="e">
        <f t="shared" si="233"/>
        <v>#DIV/0!</v>
      </c>
      <c r="DL183" s="68" t="e">
        <f t="shared" si="234"/>
        <v>#DIV/0!</v>
      </c>
      <c r="DM183" s="68" t="e">
        <f t="shared" si="235"/>
        <v>#DIV/0!</v>
      </c>
      <c r="DN183" s="68" t="e">
        <f t="shared" si="236"/>
        <v>#DIV/0!</v>
      </c>
      <c r="DO183" s="68" t="e">
        <f t="shared" si="237"/>
        <v>#DIV/0!</v>
      </c>
      <c r="DP183" s="68" t="e">
        <f t="shared" si="238"/>
        <v>#DIV/0!</v>
      </c>
      <c r="DQ183" s="68" t="e">
        <f t="shared" si="239"/>
        <v>#DIV/0!</v>
      </c>
      <c r="DR183" s="68" t="e">
        <f t="shared" si="240"/>
        <v>#DIV/0!</v>
      </c>
      <c r="DS183" s="68" t="e">
        <f t="shared" si="241"/>
        <v>#DIV/0!</v>
      </c>
      <c r="DT183" s="68" t="e">
        <f t="shared" si="242"/>
        <v>#DIV/0!</v>
      </c>
      <c r="DU183" s="68" t="e">
        <f t="shared" si="200"/>
        <v>#DIV/0!</v>
      </c>
      <c r="DV183" s="68" t="e">
        <f t="shared" si="243"/>
        <v>#DIV/0!</v>
      </c>
      <c r="DW183" s="68" t="e">
        <f t="shared" si="201"/>
        <v>#DIV/0!</v>
      </c>
      <c r="DX183" s="68">
        <f t="shared" si="244"/>
        <v>26.05841667</v>
      </c>
      <c r="DY183" s="68">
        <f t="shared" si="245"/>
        <v>80.134330559999995</v>
      </c>
      <c r="DZ183" s="68" t="e">
        <f t="shared" si="246"/>
        <v>#DIV/0!</v>
      </c>
      <c r="EA183" s="68" t="e">
        <f t="shared" si="247"/>
        <v>#DIV/0!</v>
      </c>
      <c r="EB183" s="68" t="e">
        <f t="shared" si="248"/>
        <v>#DIV/0!</v>
      </c>
      <c r="EC183" s="68" t="e">
        <f t="shared" si="249"/>
        <v>#DIV/0!</v>
      </c>
      <c r="ED183" s="68" t="e">
        <f t="shared" si="250"/>
        <v>#DIV/0!</v>
      </c>
      <c r="EE183" s="68" t="e">
        <f t="shared" si="251"/>
        <v>#DIV/0!</v>
      </c>
      <c r="EF183" s="68" t="e">
        <f t="shared" si="252"/>
        <v>#DIV/0!</v>
      </c>
      <c r="EG183" s="68" t="e">
        <f t="shared" si="253"/>
        <v>#DIV/0!</v>
      </c>
      <c r="EH183" s="68" t="e">
        <f t="shared" si="202"/>
        <v>#DIV/0!</v>
      </c>
      <c r="EI183" s="68" t="e">
        <f t="shared" si="254"/>
        <v>#DIV/0!</v>
      </c>
      <c r="EJ183" s="68" t="e">
        <f t="shared" si="255"/>
        <v>#DIV/0!</v>
      </c>
      <c r="EK183" s="68" t="e">
        <f t="shared" si="256"/>
        <v>#DIV/0!</v>
      </c>
      <c r="EL183" s="68" t="e">
        <f t="shared" si="257"/>
        <v>#DIV/0!</v>
      </c>
      <c r="EM183" s="68" t="e">
        <f t="shared" si="258"/>
        <v>#DIV/0!</v>
      </c>
      <c r="EN183" s="68" t="e">
        <f t="shared" si="259"/>
        <v>#DIV/0!</v>
      </c>
      <c r="EO183" s="68" t="e">
        <f t="shared" si="260"/>
        <v>#DIV/0!</v>
      </c>
      <c r="EP183" s="68" t="e">
        <f t="shared" si="261"/>
        <v>#DIV/0!</v>
      </c>
      <c r="EQ183" s="68" t="e">
        <f t="shared" si="262"/>
        <v>#DIV/0!</v>
      </c>
      <c r="ER183" s="68" t="e">
        <f t="shared" si="203"/>
        <v>#DIV/0!</v>
      </c>
    </row>
    <row r="184" spans="82:148" x14ac:dyDescent="0.25">
      <c r="CD184" s="68" t="s">
        <v>707</v>
      </c>
      <c r="CE184" s="69">
        <f t="shared" si="196"/>
        <v>260330.3</v>
      </c>
      <c r="CF184" s="69">
        <f t="shared" si="197"/>
        <v>800803.59</v>
      </c>
      <c r="CG184" s="70">
        <f t="shared" si="205"/>
        <v>0</v>
      </c>
      <c r="CH184" s="69">
        <f t="shared" si="206"/>
        <v>260330.30001199999</v>
      </c>
      <c r="CI184" s="69">
        <f t="shared" si="207"/>
        <v>800803.59001599997</v>
      </c>
      <c r="CJ184" s="68">
        <f t="shared" si="208"/>
        <v>26.05841667</v>
      </c>
      <c r="CK184" s="68">
        <f t="shared" si="209"/>
        <v>80.134330559999995</v>
      </c>
      <c r="CL184" s="68">
        <f t="shared" si="210"/>
        <v>26.05841667</v>
      </c>
      <c r="CM184" s="68">
        <f t="shared" si="211"/>
        <v>80.134330559999995</v>
      </c>
      <c r="CN184" s="68">
        <f t="shared" si="212"/>
        <v>0</v>
      </c>
      <c r="CO184" s="68">
        <f t="shared" si="213"/>
        <v>0</v>
      </c>
      <c r="CP184" s="68">
        <f t="shared" si="214"/>
        <v>0.43928729614546391</v>
      </c>
      <c r="CQ184" s="68">
        <f t="shared" si="215"/>
        <v>1.0027157713556663</v>
      </c>
      <c r="CR184" s="68">
        <f t="shared" si="216"/>
        <v>0</v>
      </c>
      <c r="CS184" s="68">
        <f t="shared" si="217"/>
        <v>0.48899531699999998</v>
      </c>
      <c r="CT184" s="68">
        <f t="shared" si="198"/>
        <v>0.23911642</v>
      </c>
      <c r="CU184" s="68">
        <f t="shared" si="218"/>
        <v>0</v>
      </c>
      <c r="CV184" s="68">
        <f t="shared" si="219"/>
        <v>0</v>
      </c>
      <c r="CW184" s="68">
        <f t="shared" si="220"/>
        <v>0</v>
      </c>
      <c r="CX184" s="68">
        <f t="shared" si="221"/>
        <v>0</v>
      </c>
      <c r="CY184" s="68">
        <f t="shared" si="222"/>
        <v>0</v>
      </c>
      <c r="CZ184" s="68" t="e">
        <f t="shared" si="223"/>
        <v>#DIV/0!</v>
      </c>
      <c r="DA184" s="68" t="e">
        <f t="shared" si="224"/>
        <v>#DIV/0!</v>
      </c>
      <c r="DB184" s="68" t="e">
        <f t="shared" si="225"/>
        <v>#DIV/0!</v>
      </c>
      <c r="DC184" s="68" t="e">
        <f t="shared" si="226"/>
        <v>#DIV/0!</v>
      </c>
      <c r="DD184" s="68" t="e">
        <f t="shared" si="227"/>
        <v>#DIV/0!</v>
      </c>
      <c r="DE184" s="68" t="e">
        <f t="shared" si="228"/>
        <v>#DIV/0!</v>
      </c>
      <c r="DF184" s="68" t="e">
        <f t="shared" si="199"/>
        <v>#DIV/0!</v>
      </c>
      <c r="DG184" s="68">
        <f t="shared" si="229"/>
        <v>0.45480516874807669</v>
      </c>
      <c r="DH184" s="68">
        <f t="shared" si="230"/>
        <v>1.3986079121535113</v>
      </c>
      <c r="DI184" s="68">
        <f t="shared" si="231"/>
        <v>0</v>
      </c>
      <c r="DJ184" s="68" t="e">
        <f t="shared" si="232"/>
        <v>#DIV/0!</v>
      </c>
      <c r="DK184" s="68" t="e">
        <f t="shared" si="233"/>
        <v>#DIV/0!</v>
      </c>
      <c r="DL184" s="68" t="e">
        <f t="shared" si="234"/>
        <v>#DIV/0!</v>
      </c>
      <c r="DM184" s="68" t="e">
        <f t="shared" si="235"/>
        <v>#DIV/0!</v>
      </c>
      <c r="DN184" s="68" t="e">
        <f t="shared" si="236"/>
        <v>#DIV/0!</v>
      </c>
      <c r="DO184" s="68" t="e">
        <f t="shared" si="237"/>
        <v>#DIV/0!</v>
      </c>
      <c r="DP184" s="68" t="e">
        <f t="shared" si="238"/>
        <v>#DIV/0!</v>
      </c>
      <c r="DQ184" s="68" t="e">
        <f t="shared" si="239"/>
        <v>#DIV/0!</v>
      </c>
      <c r="DR184" s="68" t="e">
        <f t="shared" si="240"/>
        <v>#DIV/0!</v>
      </c>
      <c r="DS184" s="68" t="e">
        <f t="shared" si="241"/>
        <v>#DIV/0!</v>
      </c>
      <c r="DT184" s="68" t="e">
        <f t="shared" si="242"/>
        <v>#DIV/0!</v>
      </c>
      <c r="DU184" s="68" t="e">
        <f t="shared" si="200"/>
        <v>#DIV/0!</v>
      </c>
      <c r="DV184" s="68" t="e">
        <f t="shared" si="243"/>
        <v>#DIV/0!</v>
      </c>
      <c r="DW184" s="68" t="e">
        <f t="shared" si="201"/>
        <v>#DIV/0!</v>
      </c>
      <c r="DX184" s="68">
        <f t="shared" si="244"/>
        <v>26.05841667</v>
      </c>
      <c r="DY184" s="68">
        <f t="shared" si="245"/>
        <v>80.134330559999995</v>
      </c>
      <c r="DZ184" s="68" t="e">
        <f t="shared" si="246"/>
        <v>#DIV/0!</v>
      </c>
      <c r="EA184" s="68" t="e">
        <f t="shared" si="247"/>
        <v>#DIV/0!</v>
      </c>
      <c r="EB184" s="68" t="e">
        <f t="shared" si="248"/>
        <v>#DIV/0!</v>
      </c>
      <c r="EC184" s="68" t="e">
        <f t="shared" si="249"/>
        <v>#DIV/0!</v>
      </c>
      <c r="ED184" s="68" t="e">
        <f t="shared" si="250"/>
        <v>#DIV/0!</v>
      </c>
      <c r="EE184" s="68" t="e">
        <f t="shared" si="251"/>
        <v>#DIV/0!</v>
      </c>
      <c r="EF184" s="68" t="e">
        <f t="shared" si="252"/>
        <v>#DIV/0!</v>
      </c>
      <c r="EG184" s="68" t="e">
        <f t="shared" si="253"/>
        <v>#DIV/0!</v>
      </c>
      <c r="EH184" s="68" t="e">
        <f t="shared" si="202"/>
        <v>#DIV/0!</v>
      </c>
      <c r="EI184" s="68" t="e">
        <f t="shared" si="254"/>
        <v>#DIV/0!</v>
      </c>
      <c r="EJ184" s="68" t="e">
        <f t="shared" si="255"/>
        <v>#DIV/0!</v>
      </c>
      <c r="EK184" s="68" t="e">
        <f t="shared" si="256"/>
        <v>#DIV/0!</v>
      </c>
      <c r="EL184" s="68" t="e">
        <f t="shared" si="257"/>
        <v>#DIV/0!</v>
      </c>
      <c r="EM184" s="68" t="e">
        <f t="shared" si="258"/>
        <v>#DIV/0!</v>
      </c>
      <c r="EN184" s="68" t="e">
        <f t="shared" si="259"/>
        <v>#DIV/0!</v>
      </c>
      <c r="EO184" s="68" t="e">
        <f t="shared" si="260"/>
        <v>#DIV/0!</v>
      </c>
      <c r="EP184" s="68" t="e">
        <f t="shared" si="261"/>
        <v>#DIV/0!</v>
      </c>
      <c r="EQ184" s="68" t="e">
        <f t="shared" si="262"/>
        <v>#DIV/0!</v>
      </c>
      <c r="ER184" s="68" t="e">
        <f t="shared" si="203"/>
        <v>#DIV/0!</v>
      </c>
    </row>
    <row r="185" spans="82:148" x14ac:dyDescent="0.25">
      <c r="CD185" s="68" t="s">
        <v>708</v>
      </c>
      <c r="CE185" s="69">
        <f t="shared" si="196"/>
        <v>260330.3</v>
      </c>
      <c r="CF185" s="69">
        <f t="shared" si="197"/>
        <v>800803.59</v>
      </c>
      <c r="CG185" s="70">
        <f t="shared" si="205"/>
        <v>0</v>
      </c>
      <c r="CH185" s="69">
        <f t="shared" si="206"/>
        <v>260330.30001199999</v>
      </c>
      <c r="CI185" s="69">
        <f t="shared" si="207"/>
        <v>800803.59001599997</v>
      </c>
      <c r="CJ185" s="68">
        <f t="shared" si="208"/>
        <v>26.05841667</v>
      </c>
      <c r="CK185" s="68">
        <f t="shared" si="209"/>
        <v>80.134330559999995</v>
      </c>
      <c r="CL185" s="68">
        <f t="shared" si="210"/>
        <v>26.05841667</v>
      </c>
      <c r="CM185" s="68">
        <f t="shared" si="211"/>
        <v>80.134330559999995</v>
      </c>
      <c r="CN185" s="68">
        <f t="shared" si="212"/>
        <v>0</v>
      </c>
      <c r="CO185" s="68">
        <f t="shared" si="213"/>
        <v>0</v>
      </c>
      <c r="CP185" s="68">
        <f t="shared" si="214"/>
        <v>0.43928729614546391</v>
      </c>
      <c r="CQ185" s="68">
        <f t="shared" si="215"/>
        <v>1.0027157713556663</v>
      </c>
      <c r="CR185" s="68">
        <f t="shared" si="216"/>
        <v>0</v>
      </c>
      <c r="CS185" s="68">
        <f t="shared" si="217"/>
        <v>0.48899531699999998</v>
      </c>
      <c r="CT185" s="68">
        <f t="shared" si="198"/>
        <v>0.23911642</v>
      </c>
      <c r="CU185" s="68">
        <f t="shared" si="218"/>
        <v>0</v>
      </c>
      <c r="CV185" s="68">
        <f t="shared" si="219"/>
        <v>0</v>
      </c>
      <c r="CW185" s="68">
        <f t="shared" si="220"/>
        <v>0</v>
      </c>
      <c r="CX185" s="68">
        <f t="shared" si="221"/>
        <v>0</v>
      </c>
      <c r="CY185" s="68">
        <f t="shared" si="222"/>
        <v>0</v>
      </c>
      <c r="CZ185" s="68" t="e">
        <f t="shared" si="223"/>
        <v>#DIV/0!</v>
      </c>
      <c r="DA185" s="68" t="e">
        <f t="shared" si="224"/>
        <v>#DIV/0!</v>
      </c>
      <c r="DB185" s="68" t="e">
        <f t="shared" si="225"/>
        <v>#DIV/0!</v>
      </c>
      <c r="DC185" s="68" t="e">
        <f t="shared" si="226"/>
        <v>#DIV/0!</v>
      </c>
      <c r="DD185" s="68" t="e">
        <f t="shared" si="227"/>
        <v>#DIV/0!</v>
      </c>
      <c r="DE185" s="68" t="e">
        <f t="shared" si="228"/>
        <v>#DIV/0!</v>
      </c>
      <c r="DF185" s="68" t="e">
        <f t="shared" si="199"/>
        <v>#DIV/0!</v>
      </c>
      <c r="DG185" s="68">
        <f t="shared" si="229"/>
        <v>0.45480516874807669</v>
      </c>
      <c r="DH185" s="68">
        <f t="shared" si="230"/>
        <v>1.3986079121535113</v>
      </c>
      <c r="DI185" s="68">
        <f t="shared" si="231"/>
        <v>0</v>
      </c>
      <c r="DJ185" s="68" t="e">
        <f t="shared" si="232"/>
        <v>#DIV/0!</v>
      </c>
      <c r="DK185" s="68" t="e">
        <f t="shared" si="233"/>
        <v>#DIV/0!</v>
      </c>
      <c r="DL185" s="68" t="e">
        <f t="shared" si="234"/>
        <v>#DIV/0!</v>
      </c>
      <c r="DM185" s="68" t="e">
        <f t="shared" si="235"/>
        <v>#DIV/0!</v>
      </c>
      <c r="DN185" s="68" t="e">
        <f t="shared" si="236"/>
        <v>#DIV/0!</v>
      </c>
      <c r="DO185" s="68" t="e">
        <f t="shared" si="237"/>
        <v>#DIV/0!</v>
      </c>
      <c r="DP185" s="68" t="e">
        <f t="shared" si="238"/>
        <v>#DIV/0!</v>
      </c>
      <c r="DQ185" s="68" t="e">
        <f t="shared" si="239"/>
        <v>#DIV/0!</v>
      </c>
      <c r="DR185" s="68" t="e">
        <f t="shared" si="240"/>
        <v>#DIV/0!</v>
      </c>
      <c r="DS185" s="68" t="e">
        <f t="shared" si="241"/>
        <v>#DIV/0!</v>
      </c>
      <c r="DT185" s="68" t="e">
        <f t="shared" si="242"/>
        <v>#DIV/0!</v>
      </c>
      <c r="DU185" s="68" t="e">
        <f t="shared" si="200"/>
        <v>#DIV/0!</v>
      </c>
      <c r="DV185" s="68" t="e">
        <f t="shared" si="243"/>
        <v>#DIV/0!</v>
      </c>
      <c r="DW185" s="68" t="e">
        <f t="shared" si="201"/>
        <v>#DIV/0!</v>
      </c>
      <c r="DX185" s="68">
        <f t="shared" si="244"/>
        <v>26.05841667</v>
      </c>
      <c r="DY185" s="68">
        <f t="shared" si="245"/>
        <v>80.134330559999995</v>
      </c>
      <c r="DZ185" s="68" t="e">
        <f t="shared" si="246"/>
        <v>#DIV/0!</v>
      </c>
      <c r="EA185" s="68" t="e">
        <f t="shared" si="247"/>
        <v>#DIV/0!</v>
      </c>
      <c r="EB185" s="68" t="e">
        <f t="shared" si="248"/>
        <v>#DIV/0!</v>
      </c>
      <c r="EC185" s="68" t="e">
        <f t="shared" si="249"/>
        <v>#DIV/0!</v>
      </c>
      <c r="ED185" s="68" t="e">
        <f t="shared" si="250"/>
        <v>#DIV/0!</v>
      </c>
      <c r="EE185" s="68" t="e">
        <f t="shared" si="251"/>
        <v>#DIV/0!</v>
      </c>
      <c r="EF185" s="68" t="e">
        <f t="shared" si="252"/>
        <v>#DIV/0!</v>
      </c>
      <c r="EG185" s="68" t="e">
        <f t="shared" si="253"/>
        <v>#DIV/0!</v>
      </c>
      <c r="EH185" s="68" t="e">
        <f t="shared" si="202"/>
        <v>#DIV/0!</v>
      </c>
      <c r="EI185" s="68" t="e">
        <f t="shared" si="254"/>
        <v>#DIV/0!</v>
      </c>
      <c r="EJ185" s="68" t="e">
        <f t="shared" si="255"/>
        <v>#DIV/0!</v>
      </c>
      <c r="EK185" s="68" t="e">
        <f t="shared" si="256"/>
        <v>#DIV/0!</v>
      </c>
      <c r="EL185" s="68" t="e">
        <f t="shared" si="257"/>
        <v>#DIV/0!</v>
      </c>
      <c r="EM185" s="68" t="e">
        <f t="shared" si="258"/>
        <v>#DIV/0!</v>
      </c>
      <c r="EN185" s="68" t="e">
        <f t="shared" si="259"/>
        <v>#DIV/0!</v>
      </c>
      <c r="EO185" s="68" t="e">
        <f t="shared" si="260"/>
        <v>#DIV/0!</v>
      </c>
      <c r="EP185" s="68" t="e">
        <f t="shared" si="261"/>
        <v>#DIV/0!</v>
      </c>
      <c r="EQ185" s="68" t="e">
        <f t="shared" si="262"/>
        <v>#DIV/0!</v>
      </c>
      <c r="ER185" s="68" t="e">
        <f t="shared" si="203"/>
        <v>#DIV/0!</v>
      </c>
    </row>
    <row r="186" spans="82:148" x14ac:dyDescent="0.25">
      <c r="CD186" s="68" t="s">
        <v>709</v>
      </c>
      <c r="CE186" s="69">
        <f t="shared" ref="CE186:CE206" si="263">$C$2</f>
        <v>260330.3</v>
      </c>
      <c r="CF186" s="69">
        <f t="shared" ref="CF186:CF206" si="264">$C$3</f>
        <v>800803.59</v>
      </c>
      <c r="CG186" s="70">
        <f t="shared" si="205"/>
        <v>0</v>
      </c>
      <c r="CH186" s="69">
        <f t="shared" si="206"/>
        <v>260330.30001199999</v>
      </c>
      <c r="CI186" s="69">
        <f t="shared" si="207"/>
        <v>800803.59001599997</v>
      </c>
      <c r="CJ186" s="68">
        <f t="shared" si="208"/>
        <v>26.05841667</v>
      </c>
      <c r="CK186" s="68">
        <f t="shared" si="209"/>
        <v>80.134330559999995</v>
      </c>
      <c r="CL186" s="68">
        <f t="shared" si="210"/>
        <v>26.05841667</v>
      </c>
      <c r="CM186" s="68">
        <f t="shared" si="211"/>
        <v>80.134330559999995</v>
      </c>
      <c r="CN186" s="68">
        <f t="shared" si="212"/>
        <v>0</v>
      </c>
      <c r="CO186" s="68">
        <f t="shared" si="213"/>
        <v>0</v>
      </c>
      <c r="CP186" s="68">
        <f t="shared" si="214"/>
        <v>0.43928729614546391</v>
      </c>
      <c r="CQ186" s="68">
        <f t="shared" si="215"/>
        <v>1.0027157713556663</v>
      </c>
      <c r="CR186" s="68">
        <f t="shared" si="216"/>
        <v>0</v>
      </c>
      <c r="CS186" s="68">
        <f t="shared" si="217"/>
        <v>0.48899531699999998</v>
      </c>
      <c r="CT186" s="68">
        <f t="shared" ref="CT186:CT206" si="265">ROUND((CS186*CS186),9)</f>
        <v>0.23911642</v>
      </c>
      <c r="CU186" s="68">
        <f t="shared" si="218"/>
        <v>0</v>
      </c>
      <c r="CV186" s="68">
        <f t="shared" si="219"/>
        <v>0</v>
      </c>
      <c r="CW186" s="68">
        <f t="shared" si="220"/>
        <v>0</v>
      </c>
      <c r="CX186" s="68">
        <f t="shared" si="221"/>
        <v>0</v>
      </c>
      <c r="CY186" s="68">
        <f t="shared" si="222"/>
        <v>0</v>
      </c>
      <c r="CZ186" s="68" t="e">
        <f t="shared" si="223"/>
        <v>#DIV/0!</v>
      </c>
      <c r="DA186" s="68" t="e">
        <f t="shared" si="224"/>
        <v>#DIV/0!</v>
      </c>
      <c r="DB186" s="68" t="e">
        <f t="shared" si="225"/>
        <v>#DIV/0!</v>
      </c>
      <c r="DC186" s="68" t="e">
        <f t="shared" si="226"/>
        <v>#DIV/0!</v>
      </c>
      <c r="DD186" s="68" t="e">
        <f t="shared" si="227"/>
        <v>#DIV/0!</v>
      </c>
      <c r="DE186" s="68" t="e">
        <f t="shared" si="228"/>
        <v>#DIV/0!</v>
      </c>
      <c r="DF186" s="68" t="e">
        <f t="shared" ref="DF186:DF206" si="266">ROUND((DE186*6076.115489),3)</f>
        <v>#DIV/0!</v>
      </c>
      <c r="DG186" s="68">
        <f t="shared" si="229"/>
        <v>0.45480516874807669</v>
      </c>
      <c r="DH186" s="68">
        <f t="shared" si="230"/>
        <v>1.3986079121535113</v>
      </c>
      <c r="DI186" s="68">
        <f t="shared" si="231"/>
        <v>0</v>
      </c>
      <c r="DJ186" s="68" t="e">
        <f t="shared" si="232"/>
        <v>#DIV/0!</v>
      </c>
      <c r="DK186" s="68" t="e">
        <f t="shared" si="233"/>
        <v>#DIV/0!</v>
      </c>
      <c r="DL186" s="68" t="e">
        <f t="shared" si="234"/>
        <v>#DIV/0!</v>
      </c>
      <c r="DM186" s="68" t="e">
        <f t="shared" si="235"/>
        <v>#DIV/0!</v>
      </c>
      <c r="DN186" s="68" t="e">
        <f t="shared" si="236"/>
        <v>#DIV/0!</v>
      </c>
      <c r="DO186" s="68" t="e">
        <f t="shared" si="237"/>
        <v>#DIV/0!</v>
      </c>
      <c r="DP186" s="68" t="e">
        <f t="shared" si="238"/>
        <v>#DIV/0!</v>
      </c>
      <c r="DQ186" s="68" t="e">
        <f t="shared" si="239"/>
        <v>#DIV/0!</v>
      </c>
      <c r="DR186" s="68" t="e">
        <f t="shared" si="240"/>
        <v>#DIV/0!</v>
      </c>
      <c r="DS186" s="68" t="e">
        <f t="shared" si="241"/>
        <v>#DIV/0!</v>
      </c>
      <c r="DT186" s="68" t="e">
        <f t="shared" si="242"/>
        <v>#DIV/0!</v>
      </c>
      <c r="DU186" s="68" t="e">
        <f t="shared" ref="DU186:DU206" si="267">(ROUND((((((DT186-(TRUNC(DT186)))*0.6)*100)-(TRUNC(((DT186-(TRUNC(DT186)))*0.6)*100)))*0.006)+(TRUNC(DT186)+((TRUNC(((DT186-(TRUNC(DT186)))*0.6)*100))/100)),6))*10000</f>
        <v>#DIV/0!</v>
      </c>
      <c r="DV186" s="68" t="e">
        <f t="shared" si="243"/>
        <v>#DIV/0!</v>
      </c>
      <c r="DW186" s="68" t="e">
        <f t="shared" ref="DW186:DW206" si="268">(ROUND((((((DV186-(TRUNC(DV186)))*0.6)*100)-(TRUNC(((DV186-(TRUNC(DV186)))*0.6)*100)))*0.006)+(TRUNC(DV186)+((TRUNC(((DV186-(TRUNC(DV186)))*0.6)*100))/100)),6))*10000</f>
        <v>#DIV/0!</v>
      </c>
      <c r="DX186" s="68">
        <f t="shared" si="244"/>
        <v>26.05841667</v>
      </c>
      <c r="DY186" s="68">
        <f t="shared" si="245"/>
        <v>80.134330559999995</v>
      </c>
      <c r="DZ186" s="68" t="e">
        <f t="shared" si="246"/>
        <v>#DIV/0!</v>
      </c>
      <c r="EA186" s="68" t="e">
        <f t="shared" si="247"/>
        <v>#DIV/0!</v>
      </c>
      <c r="EB186" s="68" t="e">
        <f t="shared" si="248"/>
        <v>#DIV/0!</v>
      </c>
      <c r="EC186" s="68" t="e">
        <f t="shared" si="249"/>
        <v>#DIV/0!</v>
      </c>
      <c r="ED186" s="68" t="e">
        <f t="shared" si="250"/>
        <v>#DIV/0!</v>
      </c>
      <c r="EE186" s="68" t="e">
        <f t="shared" si="251"/>
        <v>#DIV/0!</v>
      </c>
      <c r="EF186" s="68" t="e">
        <f t="shared" si="252"/>
        <v>#DIV/0!</v>
      </c>
      <c r="EG186" s="68" t="e">
        <f t="shared" si="253"/>
        <v>#DIV/0!</v>
      </c>
      <c r="EH186" s="68" t="e">
        <f t="shared" ref="EH186:EH206" si="269">(EG186*EG186)</f>
        <v>#DIV/0!</v>
      </c>
      <c r="EI186" s="68" t="e">
        <f t="shared" si="254"/>
        <v>#DIV/0!</v>
      </c>
      <c r="EJ186" s="68" t="e">
        <f t="shared" si="255"/>
        <v>#DIV/0!</v>
      </c>
      <c r="EK186" s="68" t="e">
        <f t="shared" si="256"/>
        <v>#DIV/0!</v>
      </c>
      <c r="EL186" s="68" t="e">
        <f t="shared" si="257"/>
        <v>#DIV/0!</v>
      </c>
      <c r="EM186" s="68" t="e">
        <f t="shared" si="258"/>
        <v>#DIV/0!</v>
      </c>
      <c r="EN186" s="68" t="e">
        <f t="shared" si="259"/>
        <v>#DIV/0!</v>
      </c>
      <c r="EO186" s="68" t="e">
        <f t="shared" si="260"/>
        <v>#DIV/0!</v>
      </c>
      <c r="EP186" s="68" t="e">
        <f t="shared" si="261"/>
        <v>#DIV/0!</v>
      </c>
      <c r="EQ186" s="68" t="e">
        <f t="shared" si="262"/>
        <v>#DIV/0!</v>
      </c>
      <c r="ER186" s="68" t="e">
        <f t="shared" ref="ER186:ER206" si="270">ROUND((EQ186*6076.115489),3)</f>
        <v>#DIV/0!</v>
      </c>
    </row>
    <row r="187" spans="82:148" x14ac:dyDescent="0.25">
      <c r="CD187" s="68" t="s">
        <v>710</v>
      </c>
      <c r="CE187" s="69">
        <f t="shared" si="263"/>
        <v>260330.3</v>
      </c>
      <c r="CF187" s="69">
        <f t="shared" si="264"/>
        <v>800803.59</v>
      </c>
      <c r="CG187" s="70">
        <f t="shared" si="205"/>
        <v>0</v>
      </c>
      <c r="CH187" s="69">
        <f t="shared" si="206"/>
        <v>260330.30001199999</v>
      </c>
      <c r="CI187" s="69">
        <f t="shared" si="207"/>
        <v>800803.59001599997</v>
      </c>
      <c r="CJ187" s="68">
        <f t="shared" si="208"/>
        <v>26.05841667</v>
      </c>
      <c r="CK187" s="68">
        <f t="shared" si="209"/>
        <v>80.134330559999995</v>
      </c>
      <c r="CL187" s="68">
        <f t="shared" si="210"/>
        <v>26.05841667</v>
      </c>
      <c r="CM187" s="68">
        <f t="shared" si="211"/>
        <v>80.134330559999995</v>
      </c>
      <c r="CN187" s="68">
        <f t="shared" si="212"/>
        <v>0</v>
      </c>
      <c r="CO187" s="68">
        <f t="shared" si="213"/>
        <v>0</v>
      </c>
      <c r="CP187" s="68">
        <f t="shared" si="214"/>
        <v>0.43928729614546391</v>
      </c>
      <c r="CQ187" s="68">
        <f t="shared" si="215"/>
        <v>1.0027157713556663</v>
      </c>
      <c r="CR187" s="68">
        <f t="shared" si="216"/>
        <v>0</v>
      </c>
      <c r="CS187" s="68">
        <f t="shared" si="217"/>
        <v>0.48899531699999998</v>
      </c>
      <c r="CT187" s="68">
        <f t="shared" si="265"/>
        <v>0.23911642</v>
      </c>
      <c r="CU187" s="68">
        <f t="shared" si="218"/>
        <v>0</v>
      </c>
      <c r="CV187" s="68">
        <f t="shared" si="219"/>
        <v>0</v>
      </c>
      <c r="CW187" s="68">
        <f t="shared" si="220"/>
        <v>0</v>
      </c>
      <c r="CX187" s="68">
        <f t="shared" si="221"/>
        <v>0</v>
      </c>
      <c r="CY187" s="68">
        <f t="shared" si="222"/>
        <v>0</v>
      </c>
      <c r="CZ187" s="68" t="e">
        <f t="shared" si="223"/>
        <v>#DIV/0!</v>
      </c>
      <c r="DA187" s="68" t="e">
        <f t="shared" si="224"/>
        <v>#DIV/0!</v>
      </c>
      <c r="DB187" s="68" t="e">
        <f t="shared" si="225"/>
        <v>#DIV/0!</v>
      </c>
      <c r="DC187" s="68" t="e">
        <f t="shared" si="226"/>
        <v>#DIV/0!</v>
      </c>
      <c r="DD187" s="68" t="e">
        <f t="shared" si="227"/>
        <v>#DIV/0!</v>
      </c>
      <c r="DE187" s="68" t="e">
        <f t="shared" si="228"/>
        <v>#DIV/0!</v>
      </c>
      <c r="DF187" s="68" t="e">
        <f t="shared" si="266"/>
        <v>#DIV/0!</v>
      </c>
      <c r="DG187" s="68">
        <f t="shared" si="229"/>
        <v>0.45480516874807669</v>
      </c>
      <c r="DH187" s="68">
        <f t="shared" si="230"/>
        <v>1.3986079121535113</v>
      </c>
      <c r="DI187" s="68">
        <f t="shared" si="231"/>
        <v>0</v>
      </c>
      <c r="DJ187" s="68" t="e">
        <f t="shared" si="232"/>
        <v>#DIV/0!</v>
      </c>
      <c r="DK187" s="68" t="e">
        <f t="shared" si="233"/>
        <v>#DIV/0!</v>
      </c>
      <c r="DL187" s="68" t="e">
        <f t="shared" si="234"/>
        <v>#DIV/0!</v>
      </c>
      <c r="DM187" s="68" t="e">
        <f t="shared" si="235"/>
        <v>#DIV/0!</v>
      </c>
      <c r="DN187" s="68" t="e">
        <f t="shared" si="236"/>
        <v>#DIV/0!</v>
      </c>
      <c r="DO187" s="68" t="e">
        <f t="shared" si="237"/>
        <v>#DIV/0!</v>
      </c>
      <c r="DP187" s="68" t="e">
        <f t="shared" si="238"/>
        <v>#DIV/0!</v>
      </c>
      <c r="DQ187" s="68" t="e">
        <f t="shared" si="239"/>
        <v>#DIV/0!</v>
      </c>
      <c r="DR187" s="68" t="e">
        <f t="shared" si="240"/>
        <v>#DIV/0!</v>
      </c>
      <c r="DS187" s="68" t="e">
        <f t="shared" si="241"/>
        <v>#DIV/0!</v>
      </c>
      <c r="DT187" s="68" t="e">
        <f t="shared" si="242"/>
        <v>#DIV/0!</v>
      </c>
      <c r="DU187" s="68" t="e">
        <f t="shared" si="267"/>
        <v>#DIV/0!</v>
      </c>
      <c r="DV187" s="68" t="e">
        <f t="shared" si="243"/>
        <v>#DIV/0!</v>
      </c>
      <c r="DW187" s="68" t="e">
        <f t="shared" si="268"/>
        <v>#DIV/0!</v>
      </c>
      <c r="DX187" s="68">
        <f t="shared" si="244"/>
        <v>26.05841667</v>
      </c>
      <c r="DY187" s="68">
        <f t="shared" si="245"/>
        <v>80.134330559999995</v>
      </c>
      <c r="DZ187" s="68" t="e">
        <f t="shared" si="246"/>
        <v>#DIV/0!</v>
      </c>
      <c r="EA187" s="68" t="e">
        <f t="shared" si="247"/>
        <v>#DIV/0!</v>
      </c>
      <c r="EB187" s="68" t="e">
        <f t="shared" si="248"/>
        <v>#DIV/0!</v>
      </c>
      <c r="EC187" s="68" t="e">
        <f t="shared" si="249"/>
        <v>#DIV/0!</v>
      </c>
      <c r="ED187" s="68" t="e">
        <f t="shared" si="250"/>
        <v>#DIV/0!</v>
      </c>
      <c r="EE187" s="68" t="e">
        <f t="shared" si="251"/>
        <v>#DIV/0!</v>
      </c>
      <c r="EF187" s="68" t="e">
        <f t="shared" si="252"/>
        <v>#DIV/0!</v>
      </c>
      <c r="EG187" s="68" t="e">
        <f t="shared" si="253"/>
        <v>#DIV/0!</v>
      </c>
      <c r="EH187" s="68" t="e">
        <f t="shared" si="269"/>
        <v>#DIV/0!</v>
      </c>
      <c r="EI187" s="68" t="e">
        <f t="shared" si="254"/>
        <v>#DIV/0!</v>
      </c>
      <c r="EJ187" s="68" t="e">
        <f t="shared" si="255"/>
        <v>#DIV/0!</v>
      </c>
      <c r="EK187" s="68" t="e">
        <f t="shared" si="256"/>
        <v>#DIV/0!</v>
      </c>
      <c r="EL187" s="68" t="e">
        <f t="shared" si="257"/>
        <v>#DIV/0!</v>
      </c>
      <c r="EM187" s="68" t="e">
        <f t="shared" si="258"/>
        <v>#DIV/0!</v>
      </c>
      <c r="EN187" s="68" t="e">
        <f t="shared" si="259"/>
        <v>#DIV/0!</v>
      </c>
      <c r="EO187" s="68" t="e">
        <f t="shared" si="260"/>
        <v>#DIV/0!</v>
      </c>
      <c r="EP187" s="68" t="e">
        <f t="shared" si="261"/>
        <v>#DIV/0!</v>
      </c>
      <c r="EQ187" s="68" t="e">
        <f t="shared" si="262"/>
        <v>#DIV/0!</v>
      </c>
      <c r="ER187" s="68" t="e">
        <f t="shared" si="270"/>
        <v>#DIV/0!</v>
      </c>
    </row>
    <row r="188" spans="82:148" x14ac:dyDescent="0.25">
      <c r="CD188" s="68" t="s">
        <v>711</v>
      </c>
      <c r="CE188" s="69">
        <f t="shared" si="263"/>
        <v>260330.3</v>
      </c>
      <c r="CF188" s="69">
        <f t="shared" si="264"/>
        <v>800803.59</v>
      </c>
      <c r="CG188" s="70">
        <f t="shared" si="205"/>
        <v>0</v>
      </c>
      <c r="CH188" s="69">
        <f t="shared" si="206"/>
        <v>260330.30001199999</v>
      </c>
      <c r="CI188" s="69">
        <f t="shared" si="207"/>
        <v>800803.59001599997</v>
      </c>
      <c r="CJ188" s="68">
        <f t="shared" si="208"/>
        <v>26.05841667</v>
      </c>
      <c r="CK188" s="68">
        <f t="shared" si="209"/>
        <v>80.134330559999995</v>
      </c>
      <c r="CL188" s="68">
        <f t="shared" si="210"/>
        <v>26.05841667</v>
      </c>
      <c r="CM188" s="68">
        <f t="shared" si="211"/>
        <v>80.134330559999995</v>
      </c>
      <c r="CN188" s="68">
        <f t="shared" si="212"/>
        <v>0</v>
      </c>
      <c r="CO188" s="68">
        <f t="shared" si="213"/>
        <v>0</v>
      </c>
      <c r="CP188" s="68">
        <f t="shared" si="214"/>
        <v>0.43928729614546391</v>
      </c>
      <c r="CQ188" s="68">
        <f t="shared" si="215"/>
        <v>1.0027157713556663</v>
      </c>
      <c r="CR188" s="68">
        <f t="shared" si="216"/>
        <v>0</v>
      </c>
      <c r="CS188" s="68">
        <f t="shared" si="217"/>
        <v>0.48899531699999998</v>
      </c>
      <c r="CT188" s="68">
        <f t="shared" si="265"/>
        <v>0.23911642</v>
      </c>
      <c r="CU188" s="68">
        <f t="shared" si="218"/>
        <v>0</v>
      </c>
      <c r="CV188" s="68">
        <f t="shared" si="219"/>
        <v>0</v>
      </c>
      <c r="CW188" s="68">
        <f t="shared" si="220"/>
        <v>0</v>
      </c>
      <c r="CX188" s="68">
        <f t="shared" si="221"/>
        <v>0</v>
      </c>
      <c r="CY188" s="68">
        <f t="shared" si="222"/>
        <v>0</v>
      </c>
      <c r="CZ188" s="68" t="e">
        <f t="shared" si="223"/>
        <v>#DIV/0!</v>
      </c>
      <c r="DA188" s="68" t="e">
        <f t="shared" si="224"/>
        <v>#DIV/0!</v>
      </c>
      <c r="DB188" s="68" t="e">
        <f t="shared" si="225"/>
        <v>#DIV/0!</v>
      </c>
      <c r="DC188" s="68" t="e">
        <f t="shared" si="226"/>
        <v>#DIV/0!</v>
      </c>
      <c r="DD188" s="68" t="e">
        <f t="shared" si="227"/>
        <v>#DIV/0!</v>
      </c>
      <c r="DE188" s="68" t="e">
        <f t="shared" si="228"/>
        <v>#DIV/0!</v>
      </c>
      <c r="DF188" s="68" t="e">
        <f t="shared" si="266"/>
        <v>#DIV/0!</v>
      </c>
      <c r="DG188" s="68">
        <f t="shared" si="229"/>
        <v>0.45480516874807669</v>
      </c>
      <c r="DH188" s="68">
        <f t="shared" si="230"/>
        <v>1.3986079121535113</v>
      </c>
      <c r="DI188" s="68">
        <f t="shared" si="231"/>
        <v>0</v>
      </c>
      <c r="DJ188" s="68" t="e">
        <f t="shared" si="232"/>
        <v>#DIV/0!</v>
      </c>
      <c r="DK188" s="68" t="e">
        <f t="shared" si="233"/>
        <v>#DIV/0!</v>
      </c>
      <c r="DL188" s="68" t="e">
        <f t="shared" si="234"/>
        <v>#DIV/0!</v>
      </c>
      <c r="DM188" s="68" t="e">
        <f t="shared" si="235"/>
        <v>#DIV/0!</v>
      </c>
      <c r="DN188" s="68" t="e">
        <f t="shared" si="236"/>
        <v>#DIV/0!</v>
      </c>
      <c r="DO188" s="68" t="e">
        <f t="shared" si="237"/>
        <v>#DIV/0!</v>
      </c>
      <c r="DP188" s="68" t="e">
        <f t="shared" si="238"/>
        <v>#DIV/0!</v>
      </c>
      <c r="DQ188" s="68" t="e">
        <f t="shared" si="239"/>
        <v>#DIV/0!</v>
      </c>
      <c r="DR188" s="68" t="e">
        <f t="shared" si="240"/>
        <v>#DIV/0!</v>
      </c>
      <c r="DS188" s="68" t="e">
        <f t="shared" si="241"/>
        <v>#DIV/0!</v>
      </c>
      <c r="DT188" s="68" t="e">
        <f t="shared" si="242"/>
        <v>#DIV/0!</v>
      </c>
      <c r="DU188" s="68" t="e">
        <f t="shared" si="267"/>
        <v>#DIV/0!</v>
      </c>
      <c r="DV188" s="68" t="e">
        <f t="shared" si="243"/>
        <v>#DIV/0!</v>
      </c>
      <c r="DW188" s="68" t="e">
        <f t="shared" si="268"/>
        <v>#DIV/0!</v>
      </c>
      <c r="DX188" s="68">
        <f t="shared" si="244"/>
        <v>26.05841667</v>
      </c>
      <c r="DY188" s="68">
        <f t="shared" si="245"/>
        <v>80.134330559999995</v>
      </c>
      <c r="DZ188" s="68" t="e">
        <f t="shared" si="246"/>
        <v>#DIV/0!</v>
      </c>
      <c r="EA188" s="68" t="e">
        <f t="shared" si="247"/>
        <v>#DIV/0!</v>
      </c>
      <c r="EB188" s="68" t="e">
        <f t="shared" si="248"/>
        <v>#DIV/0!</v>
      </c>
      <c r="EC188" s="68" t="e">
        <f t="shared" si="249"/>
        <v>#DIV/0!</v>
      </c>
      <c r="ED188" s="68" t="e">
        <f t="shared" si="250"/>
        <v>#DIV/0!</v>
      </c>
      <c r="EE188" s="68" t="e">
        <f t="shared" si="251"/>
        <v>#DIV/0!</v>
      </c>
      <c r="EF188" s="68" t="e">
        <f t="shared" si="252"/>
        <v>#DIV/0!</v>
      </c>
      <c r="EG188" s="68" t="e">
        <f t="shared" si="253"/>
        <v>#DIV/0!</v>
      </c>
      <c r="EH188" s="68" t="e">
        <f t="shared" si="269"/>
        <v>#DIV/0!</v>
      </c>
      <c r="EI188" s="68" t="e">
        <f t="shared" si="254"/>
        <v>#DIV/0!</v>
      </c>
      <c r="EJ188" s="68" t="e">
        <f t="shared" si="255"/>
        <v>#DIV/0!</v>
      </c>
      <c r="EK188" s="68" t="e">
        <f t="shared" si="256"/>
        <v>#DIV/0!</v>
      </c>
      <c r="EL188" s="68" t="e">
        <f t="shared" si="257"/>
        <v>#DIV/0!</v>
      </c>
      <c r="EM188" s="68" t="e">
        <f t="shared" si="258"/>
        <v>#DIV/0!</v>
      </c>
      <c r="EN188" s="68" t="e">
        <f t="shared" si="259"/>
        <v>#DIV/0!</v>
      </c>
      <c r="EO188" s="68" t="e">
        <f t="shared" si="260"/>
        <v>#DIV/0!</v>
      </c>
      <c r="EP188" s="68" t="e">
        <f t="shared" si="261"/>
        <v>#DIV/0!</v>
      </c>
      <c r="EQ188" s="68" t="e">
        <f t="shared" si="262"/>
        <v>#DIV/0!</v>
      </c>
      <c r="ER188" s="68" t="e">
        <f t="shared" si="270"/>
        <v>#DIV/0!</v>
      </c>
    </row>
    <row r="189" spans="82:148" x14ac:dyDescent="0.25">
      <c r="CD189" s="68" t="s">
        <v>712</v>
      </c>
      <c r="CE189" s="69">
        <f t="shared" si="263"/>
        <v>260330.3</v>
      </c>
      <c r="CF189" s="69">
        <f t="shared" si="264"/>
        <v>800803.59</v>
      </c>
      <c r="CG189" s="70">
        <f t="shared" ref="CG189:CG206" si="271">$F$4</f>
        <v>0</v>
      </c>
      <c r="CH189" s="69">
        <f t="shared" si="206"/>
        <v>260330.30001199999</v>
      </c>
      <c r="CI189" s="69">
        <f t="shared" si="207"/>
        <v>800803.59001599997</v>
      </c>
      <c r="CJ189" s="68">
        <f t="shared" si="208"/>
        <v>26.05841667</v>
      </c>
      <c r="CK189" s="68">
        <f t="shared" si="209"/>
        <v>80.134330559999995</v>
      </c>
      <c r="CL189" s="68">
        <f t="shared" si="210"/>
        <v>26.05841667</v>
      </c>
      <c r="CM189" s="68">
        <f t="shared" si="211"/>
        <v>80.134330559999995</v>
      </c>
      <c r="CN189" s="68">
        <f t="shared" si="212"/>
        <v>0</v>
      </c>
      <c r="CO189" s="68">
        <f t="shared" si="213"/>
        <v>0</v>
      </c>
      <c r="CP189" s="68">
        <f t="shared" si="214"/>
        <v>0.43928729614546391</v>
      </c>
      <c r="CQ189" s="68">
        <f t="shared" si="215"/>
        <v>1.0027157713556663</v>
      </c>
      <c r="CR189" s="68">
        <f t="shared" si="216"/>
        <v>0</v>
      </c>
      <c r="CS189" s="68">
        <f t="shared" si="217"/>
        <v>0.48899531699999998</v>
      </c>
      <c r="CT189" s="68">
        <f t="shared" si="265"/>
        <v>0.23911642</v>
      </c>
      <c r="CU189" s="68">
        <f t="shared" si="218"/>
        <v>0</v>
      </c>
      <c r="CV189" s="68">
        <f t="shared" si="219"/>
        <v>0</v>
      </c>
      <c r="CW189" s="68">
        <f t="shared" si="220"/>
        <v>0</v>
      </c>
      <c r="CX189" s="68">
        <f t="shared" si="221"/>
        <v>0</v>
      </c>
      <c r="CY189" s="68">
        <f t="shared" si="222"/>
        <v>0</v>
      </c>
      <c r="CZ189" s="68" t="e">
        <f t="shared" si="223"/>
        <v>#DIV/0!</v>
      </c>
      <c r="DA189" s="68" t="e">
        <f t="shared" si="224"/>
        <v>#DIV/0!</v>
      </c>
      <c r="DB189" s="68" t="e">
        <f t="shared" si="225"/>
        <v>#DIV/0!</v>
      </c>
      <c r="DC189" s="68" t="e">
        <f t="shared" si="226"/>
        <v>#DIV/0!</v>
      </c>
      <c r="DD189" s="68" t="e">
        <f t="shared" si="227"/>
        <v>#DIV/0!</v>
      </c>
      <c r="DE189" s="68" t="e">
        <f t="shared" si="228"/>
        <v>#DIV/0!</v>
      </c>
      <c r="DF189" s="68" t="e">
        <f t="shared" si="266"/>
        <v>#DIV/0!</v>
      </c>
      <c r="DG189" s="68">
        <f t="shared" si="229"/>
        <v>0.45480516874807669</v>
      </c>
      <c r="DH189" s="68">
        <f t="shared" si="230"/>
        <v>1.3986079121535113</v>
      </c>
      <c r="DI189" s="68">
        <f t="shared" si="231"/>
        <v>0</v>
      </c>
      <c r="DJ189" s="68" t="e">
        <f t="shared" si="232"/>
        <v>#DIV/0!</v>
      </c>
      <c r="DK189" s="68" t="e">
        <f t="shared" si="233"/>
        <v>#DIV/0!</v>
      </c>
      <c r="DL189" s="68" t="e">
        <f t="shared" si="234"/>
        <v>#DIV/0!</v>
      </c>
      <c r="DM189" s="68" t="e">
        <f t="shared" si="235"/>
        <v>#DIV/0!</v>
      </c>
      <c r="DN189" s="68" t="e">
        <f t="shared" si="236"/>
        <v>#DIV/0!</v>
      </c>
      <c r="DO189" s="68" t="e">
        <f t="shared" si="237"/>
        <v>#DIV/0!</v>
      </c>
      <c r="DP189" s="68" t="e">
        <f t="shared" si="238"/>
        <v>#DIV/0!</v>
      </c>
      <c r="DQ189" s="68" t="e">
        <f t="shared" si="239"/>
        <v>#DIV/0!</v>
      </c>
      <c r="DR189" s="68" t="e">
        <f t="shared" si="240"/>
        <v>#DIV/0!</v>
      </c>
      <c r="DS189" s="68" t="e">
        <f t="shared" si="241"/>
        <v>#DIV/0!</v>
      </c>
      <c r="DT189" s="68" t="e">
        <f t="shared" si="242"/>
        <v>#DIV/0!</v>
      </c>
      <c r="DU189" s="68" t="e">
        <f t="shared" si="267"/>
        <v>#DIV/0!</v>
      </c>
      <c r="DV189" s="68" t="e">
        <f t="shared" si="243"/>
        <v>#DIV/0!</v>
      </c>
      <c r="DW189" s="68" t="e">
        <f t="shared" si="268"/>
        <v>#DIV/0!</v>
      </c>
      <c r="DX189" s="68">
        <f t="shared" si="244"/>
        <v>26.05841667</v>
      </c>
      <c r="DY189" s="68">
        <f t="shared" si="245"/>
        <v>80.134330559999995</v>
      </c>
      <c r="DZ189" s="68" t="e">
        <f t="shared" si="246"/>
        <v>#DIV/0!</v>
      </c>
      <c r="EA189" s="68" t="e">
        <f t="shared" si="247"/>
        <v>#DIV/0!</v>
      </c>
      <c r="EB189" s="68" t="e">
        <f t="shared" si="248"/>
        <v>#DIV/0!</v>
      </c>
      <c r="EC189" s="68" t="e">
        <f t="shared" si="249"/>
        <v>#DIV/0!</v>
      </c>
      <c r="ED189" s="68" t="e">
        <f t="shared" si="250"/>
        <v>#DIV/0!</v>
      </c>
      <c r="EE189" s="68" t="e">
        <f t="shared" si="251"/>
        <v>#DIV/0!</v>
      </c>
      <c r="EF189" s="68" t="e">
        <f t="shared" si="252"/>
        <v>#DIV/0!</v>
      </c>
      <c r="EG189" s="68" t="e">
        <f t="shared" si="253"/>
        <v>#DIV/0!</v>
      </c>
      <c r="EH189" s="68" t="e">
        <f t="shared" si="269"/>
        <v>#DIV/0!</v>
      </c>
      <c r="EI189" s="68" t="e">
        <f t="shared" si="254"/>
        <v>#DIV/0!</v>
      </c>
      <c r="EJ189" s="68" t="e">
        <f t="shared" si="255"/>
        <v>#DIV/0!</v>
      </c>
      <c r="EK189" s="68" t="e">
        <f t="shared" si="256"/>
        <v>#DIV/0!</v>
      </c>
      <c r="EL189" s="68" t="e">
        <f t="shared" si="257"/>
        <v>#DIV/0!</v>
      </c>
      <c r="EM189" s="68" t="e">
        <f t="shared" si="258"/>
        <v>#DIV/0!</v>
      </c>
      <c r="EN189" s="68" t="e">
        <f t="shared" si="259"/>
        <v>#DIV/0!</v>
      </c>
      <c r="EO189" s="68" t="e">
        <f t="shared" si="260"/>
        <v>#DIV/0!</v>
      </c>
      <c r="EP189" s="68" t="e">
        <f t="shared" si="261"/>
        <v>#DIV/0!</v>
      </c>
      <c r="EQ189" s="68" t="e">
        <f t="shared" si="262"/>
        <v>#DIV/0!</v>
      </c>
      <c r="ER189" s="68" t="e">
        <f t="shared" si="270"/>
        <v>#DIV/0!</v>
      </c>
    </row>
    <row r="190" spans="82:148" x14ac:dyDescent="0.25">
      <c r="CD190" s="68" t="s">
        <v>713</v>
      </c>
      <c r="CE190" s="69">
        <f t="shared" si="263"/>
        <v>260330.3</v>
      </c>
      <c r="CF190" s="69">
        <f t="shared" si="264"/>
        <v>800803.59</v>
      </c>
      <c r="CG190" s="70">
        <f t="shared" si="271"/>
        <v>0</v>
      </c>
      <c r="CH190" s="69">
        <f t="shared" si="206"/>
        <v>260330.30001199999</v>
      </c>
      <c r="CI190" s="69">
        <f t="shared" si="207"/>
        <v>800803.59001599997</v>
      </c>
      <c r="CJ190" s="68">
        <f t="shared" si="208"/>
        <v>26.05841667</v>
      </c>
      <c r="CK190" s="68">
        <f t="shared" si="209"/>
        <v>80.134330559999995</v>
      </c>
      <c r="CL190" s="68">
        <f t="shared" si="210"/>
        <v>26.05841667</v>
      </c>
      <c r="CM190" s="68">
        <f t="shared" si="211"/>
        <v>80.134330559999995</v>
      </c>
      <c r="CN190" s="68">
        <f t="shared" si="212"/>
        <v>0</v>
      </c>
      <c r="CO190" s="68">
        <f t="shared" si="213"/>
        <v>0</v>
      </c>
      <c r="CP190" s="68">
        <f t="shared" si="214"/>
        <v>0.43928729614546391</v>
      </c>
      <c r="CQ190" s="68">
        <f t="shared" si="215"/>
        <v>1.0027157713556663</v>
      </c>
      <c r="CR190" s="68">
        <f t="shared" si="216"/>
        <v>0</v>
      </c>
      <c r="CS190" s="68">
        <f t="shared" si="217"/>
        <v>0.48899531699999998</v>
      </c>
      <c r="CT190" s="68">
        <f t="shared" si="265"/>
        <v>0.23911642</v>
      </c>
      <c r="CU190" s="68">
        <f t="shared" si="218"/>
        <v>0</v>
      </c>
      <c r="CV190" s="68">
        <f t="shared" si="219"/>
        <v>0</v>
      </c>
      <c r="CW190" s="68">
        <f t="shared" si="220"/>
        <v>0</v>
      </c>
      <c r="CX190" s="68">
        <f t="shared" si="221"/>
        <v>0</v>
      </c>
      <c r="CY190" s="68">
        <f t="shared" si="222"/>
        <v>0</v>
      </c>
      <c r="CZ190" s="68" t="e">
        <f t="shared" si="223"/>
        <v>#DIV/0!</v>
      </c>
      <c r="DA190" s="68" t="e">
        <f t="shared" si="224"/>
        <v>#DIV/0!</v>
      </c>
      <c r="DB190" s="68" t="e">
        <f t="shared" si="225"/>
        <v>#DIV/0!</v>
      </c>
      <c r="DC190" s="68" t="e">
        <f t="shared" si="226"/>
        <v>#DIV/0!</v>
      </c>
      <c r="DD190" s="68" t="e">
        <f t="shared" si="227"/>
        <v>#DIV/0!</v>
      </c>
      <c r="DE190" s="68" t="e">
        <f t="shared" si="228"/>
        <v>#DIV/0!</v>
      </c>
      <c r="DF190" s="68" t="e">
        <f t="shared" si="266"/>
        <v>#DIV/0!</v>
      </c>
      <c r="DG190" s="68">
        <f t="shared" si="229"/>
        <v>0.45480516874807669</v>
      </c>
      <c r="DH190" s="68">
        <f t="shared" si="230"/>
        <v>1.3986079121535113</v>
      </c>
      <c r="DI190" s="68">
        <f t="shared" si="231"/>
        <v>0</v>
      </c>
      <c r="DJ190" s="68" t="e">
        <f t="shared" si="232"/>
        <v>#DIV/0!</v>
      </c>
      <c r="DK190" s="68" t="e">
        <f t="shared" si="233"/>
        <v>#DIV/0!</v>
      </c>
      <c r="DL190" s="68" t="e">
        <f t="shared" si="234"/>
        <v>#DIV/0!</v>
      </c>
      <c r="DM190" s="68" t="e">
        <f t="shared" si="235"/>
        <v>#DIV/0!</v>
      </c>
      <c r="DN190" s="68" t="e">
        <f t="shared" si="236"/>
        <v>#DIV/0!</v>
      </c>
      <c r="DO190" s="68" t="e">
        <f t="shared" si="237"/>
        <v>#DIV/0!</v>
      </c>
      <c r="DP190" s="68" t="e">
        <f t="shared" si="238"/>
        <v>#DIV/0!</v>
      </c>
      <c r="DQ190" s="68" t="e">
        <f t="shared" si="239"/>
        <v>#DIV/0!</v>
      </c>
      <c r="DR190" s="68" t="e">
        <f t="shared" si="240"/>
        <v>#DIV/0!</v>
      </c>
      <c r="DS190" s="68" t="e">
        <f t="shared" si="241"/>
        <v>#DIV/0!</v>
      </c>
      <c r="DT190" s="68" t="e">
        <f t="shared" si="242"/>
        <v>#DIV/0!</v>
      </c>
      <c r="DU190" s="68" t="e">
        <f t="shared" si="267"/>
        <v>#DIV/0!</v>
      </c>
      <c r="DV190" s="68" t="e">
        <f t="shared" si="243"/>
        <v>#DIV/0!</v>
      </c>
      <c r="DW190" s="68" t="e">
        <f t="shared" si="268"/>
        <v>#DIV/0!</v>
      </c>
      <c r="DX190" s="68">
        <f t="shared" si="244"/>
        <v>26.05841667</v>
      </c>
      <c r="DY190" s="68">
        <f t="shared" si="245"/>
        <v>80.134330559999995</v>
      </c>
      <c r="DZ190" s="68" t="e">
        <f t="shared" si="246"/>
        <v>#DIV/0!</v>
      </c>
      <c r="EA190" s="68" t="e">
        <f t="shared" si="247"/>
        <v>#DIV/0!</v>
      </c>
      <c r="EB190" s="68" t="e">
        <f t="shared" si="248"/>
        <v>#DIV/0!</v>
      </c>
      <c r="EC190" s="68" t="e">
        <f t="shared" si="249"/>
        <v>#DIV/0!</v>
      </c>
      <c r="ED190" s="68" t="e">
        <f t="shared" si="250"/>
        <v>#DIV/0!</v>
      </c>
      <c r="EE190" s="68" t="e">
        <f t="shared" si="251"/>
        <v>#DIV/0!</v>
      </c>
      <c r="EF190" s="68" t="e">
        <f t="shared" si="252"/>
        <v>#DIV/0!</v>
      </c>
      <c r="EG190" s="68" t="e">
        <f t="shared" si="253"/>
        <v>#DIV/0!</v>
      </c>
      <c r="EH190" s="68" t="e">
        <f t="shared" si="269"/>
        <v>#DIV/0!</v>
      </c>
      <c r="EI190" s="68" t="e">
        <f t="shared" si="254"/>
        <v>#DIV/0!</v>
      </c>
      <c r="EJ190" s="68" t="e">
        <f t="shared" si="255"/>
        <v>#DIV/0!</v>
      </c>
      <c r="EK190" s="68" t="e">
        <f t="shared" si="256"/>
        <v>#DIV/0!</v>
      </c>
      <c r="EL190" s="68" t="e">
        <f t="shared" si="257"/>
        <v>#DIV/0!</v>
      </c>
      <c r="EM190" s="68" t="e">
        <f t="shared" si="258"/>
        <v>#DIV/0!</v>
      </c>
      <c r="EN190" s="68" t="e">
        <f t="shared" si="259"/>
        <v>#DIV/0!</v>
      </c>
      <c r="EO190" s="68" t="e">
        <f t="shared" si="260"/>
        <v>#DIV/0!</v>
      </c>
      <c r="EP190" s="68" t="e">
        <f t="shared" si="261"/>
        <v>#DIV/0!</v>
      </c>
      <c r="EQ190" s="68" t="e">
        <f t="shared" si="262"/>
        <v>#DIV/0!</v>
      </c>
      <c r="ER190" s="68" t="e">
        <f t="shared" si="270"/>
        <v>#DIV/0!</v>
      </c>
    </row>
    <row r="191" spans="82:148" x14ac:dyDescent="0.25">
      <c r="CD191" s="68" t="s">
        <v>714</v>
      </c>
      <c r="CE191" s="69">
        <f t="shared" si="263"/>
        <v>260330.3</v>
      </c>
      <c r="CF191" s="69">
        <f t="shared" si="264"/>
        <v>800803.59</v>
      </c>
      <c r="CG191" s="70">
        <f t="shared" si="271"/>
        <v>0</v>
      </c>
      <c r="CH191" s="69">
        <f t="shared" si="206"/>
        <v>260330.30001199999</v>
      </c>
      <c r="CI191" s="69">
        <f t="shared" si="207"/>
        <v>800803.59001599997</v>
      </c>
      <c r="CJ191" s="68">
        <f t="shared" si="208"/>
        <v>26.05841667</v>
      </c>
      <c r="CK191" s="68">
        <f t="shared" si="209"/>
        <v>80.134330559999995</v>
      </c>
      <c r="CL191" s="68">
        <f t="shared" si="210"/>
        <v>26.05841667</v>
      </c>
      <c r="CM191" s="68">
        <f t="shared" si="211"/>
        <v>80.134330559999995</v>
      </c>
      <c r="CN191" s="68">
        <f t="shared" si="212"/>
        <v>0</v>
      </c>
      <c r="CO191" s="68">
        <f t="shared" si="213"/>
        <v>0</v>
      </c>
      <c r="CP191" s="68">
        <f t="shared" si="214"/>
        <v>0.43928729614546391</v>
      </c>
      <c r="CQ191" s="68">
        <f t="shared" si="215"/>
        <v>1.0027157713556663</v>
      </c>
      <c r="CR191" s="68">
        <f t="shared" si="216"/>
        <v>0</v>
      </c>
      <c r="CS191" s="68">
        <f t="shared" si="217"/>
        <v>0.48899531699999998</v>
      </c>
      <c r="CT191" s="68">
        <f t="shared" si="265"/>
        <v>0.23911642</v>
      </c>
      <c r="CU191" s="68">
        <f t="shared" si="218"/>
        <v>0</v>
      </c>
      <c r="CV191" s="68">
        <f t="shared" si="219"/>
        <v>0</v>
      </c>
      <c r="CW191" s="68">
        <f t="shared" si="220"/>
        <v>0</v>
      </c>
      <c r="CX191" s="68">
        <f t="shared" si="221"/>
        <v>0</v>
      </c>
      <c r="CY191" s="68">
        <f t="shared" si="222"/>
        <v>0</v>
      </c>
      <c r="CZ191" s="68" t="e">
        <f t="shared" si="223"/>
        <v>#DIV/0!</v>
      </c>
      <c r="DA191" s="68" t="e">
        <f t="shared" si="224"/>
        <v>#DIV/0!</v>
      </c>
      <c r="DB191" s="68" t="e">
        <f t="shared" si="225"/>
        <v>#DIV/0!</v>
      </c>
      <c r="DC191" s="68" t="e">
        <f t="shared" si="226"/>
        <v>#DIV/0!</v>
      </c>
      <c r="DD191" s="68" t="e">
        <f t="shared" si="227"/>
        <v>#DIV/0!</v>
      </c>
      <c r="DE191" s="68" t="e">
        <f t="shared" si="228"/>
        <v>#DIV/0!</v>
      </c>
      <c r="DF191" s="68" t="e">
        <f t="shared" si="266"/>
        <v>#DIV/0!</v>
      </c>
      <c r="DG191" s="68">
        <f t="shared" si="229"/>
        <v>0.45480516874807669</v>
      </c>
      <c r="DH191" s="68">
        <f t="shared" si="230"/>
        <v>1.3986079121535113</v>
      </c>
      <c r="DI191" s="68">
        <f t="shared" si="231"/>
        <v>0</v>
      </c>
      <c r="DJ191" s="68" t="e">
        <f t="shared" si="232"/>
        <v>#DIV/0!</v>
      </c>
      <c r="DK191" s="68" t="e">
        <f t="shared" si="233"/>
        <v>#DIV/0!</v>
      </c>
      <c r="DL191" s="68" t="e">
        <f t="shared" si="234"/>
        <v>#DIV/0!</v>
      </c>
      <c r="DM191" s="68" t="e">
        <f t="shared" si="235"/>
        <v>#DIV/0!</v>
      </c>
      <c r="DN191" s="68" t="e">
        <f t="shared" si="236"/>
        <v>#DIV/0!</v>
      </c>
      <c r="DO191" s="68" t="e">
        <f t="shared" si="237"/>
        <v>#DIV/0!</v>
      </c>
      <c r="DP191" s="68" t="e">
        <f t="shared" si="238"/>
        <v>#DIV/0!</v>
      </c>
      <c r="DQ191" s="68" t="e">
        <f t="shared" si="239"/>
        <v>#DIV/0!</v>
      </c>
      <c r="DR191" s="68" t="e">
        <f t="shared" si="240"/>
        <v>#DIV/0!</v>
      </c>
      <c r="DS191" s="68" t="e">
        <f t="shared" si="241"/>
        <v>#DIV/0!</v>
      </c>
      <c r="DT191" s="68" t="e">
        <f t="shared" si="242"/>
        <v>#DIV/0!</v>
      </c>
      <c r="DU191" s="68" t="e">
        <f t="shared" si="267"/>
        <v>#DIV/0!</v>
      </c>
      <c r="DV191" s="68" t="e">
        <f t="shared" si="243"/>
        <v>#DIV/0!</v>
      </c>
      <c r="DW191" s="68" t="e">
        <f t="shared" si="268"/>
        <v>#DIV/0!</v>
      </c>
      <c r="DX191" s="68">
        <f t="shared" si="244"/>
        <v>26.05841667</v>
      </c>
      <c r="DY191" s="68">
        <f t="shared" si="245"/>
        <v>80.134330559999995</v>
      </c>
      <c r="DZ191" s="68" t="e">
        <f t="shared" si="246"/>
        <v>#DIV/0!</v>
      </c>
      <c r="EA191" s="68" t="e">
        <f t="shared" si="247"/>
        <v>#DIV/0!</v>
      </c>
      <c r="EB191" s="68" t="e">
        <f t="shared" si="248"/>
        <v>#DIV/0!</v>
      </c>
      <c r="EC191" s="68" t="e">
        <f t="shared" si="249"/>
        <v>#DIV/0!</v>
      </c>
      <c r="ED191" s="68" t="e">
        <f t="shared" si="250"/>
        <v>#DIV/0!</v>
      </c>
      <c r="EE191" s="68" t="e">
        <f t="shared" si="251"/>
        <v>#DIV/0!</v>
      </c>
      <c r="EF191" s="68" t="e">
        <f t="shared" si="252"/>
        <v>#DIV/0!</v>
      </c>
      <c r="EG191" s="68" t="e">
        <f t="shared" si="253"/>
        <v>#DIV/0!</v>
      </c>
      <c r="EH191" s="68" t="e">
        <f t="shared" si="269"/>
        <v>#DIV/0!</v>
      </c>
      <c r="EI191" s="68" t="e">
        <f t="shared" si="254"/>
        <v>#DIV/0!</v>
      </c>
      <c r="EJ191" s="68" t="e">
        <f t="shared" si="255"/>
        <v>#DIV/0!</v>
      </c>
      <c r="EK191" s="68" t="e">
        <f t="shared" si="256"/>
        <v>#DIV/0!</v>
      </c>
      <c r="EL191" s="68" t="e">
        <f t="shared" si="257"/>
        <v>#DIV/0!</v>
      </c>
      <c r="EM191" s="68" t="e">
        <f t="shared" si="258"/>
        <v>#DIV/0!</v>
      </c>
      <c r="EN191" s="68" t="e">
        <f t="shared" si="259"/>
        <v>#DIV/0!</v>
      </c>
      <c r="EO191" s="68" t="e">
        <f t="shared" si="260"/>
        <v>#DIV/0!</v>
      </c>
      <c r="EP191" s="68" t="e">
        <f t="shared" si="261"/>
        <v>#DIV/0!</v>
      </c>
      <c r="EQ191" s="68" t="e">
        <f t="shared" si="262"/>
        <v>#DIV/0!</v>
      </c>
      <c r="ER191" s="68" t="e">
        <f t="shared" si="270"/>
        <v>#DIV/0!</v>
      </c>
    </row>
    <row r="192" spans="82:148" x14ac:dyDescent="0.25">
      <c r="CD192" s="68" t="s">
        <v>715</v>
      </c>
      <c r="CE192" s="69">
        <f t="shared" si="263"/>
        <v>260330.3</v>
      </c>
      <c r="CF192" s="69">
        <f t="shared" si="264"/>
        <v>800803.59</v>
      </c>
      <c r="CG192" s="70">
        <f t="shared" si="271"/>
        <v>0</v>
      </c>
      <c r="CH192" s="69">
        <f t="shared" si="206"/>
        <v>260330.30001199999</v>
      </c>
      <c r="CI192" s="69">
        <f t="shared" si="207"/>
        <v>800803.59001599997</v>
      </c>
      <c r="CJ192" s="68">
        <f t="shared" si="208"/>
        <v>26.05841667</v>
      </c>
      <c r="CK192" s="68">
        <f t="shared" si="209"/>
        <v>80.134330559999995</v>
      </c>
      <c r="CL192" s="68">
        <f t="shared" si="210"/>
        <v>26.05841667</v>
      </c>
      <c r="CM192" s="68">
        <f t="shared" si="211"/>
        <v>80.134330559999995</v>
      </c>
      <c r="CN192" s="68">
        <f t="shared" si="212"/>
        <v>0</v>
      </c>
      <c r="CO192" s="68">
        <f t="shared" si="213"/>
        <v>0</v>
      </c>
      <c r="CP192" s="68">
        <f t="shared" si="214"/>
        <v>0.43928729614546391</v>
      </c>
      <c r="CQ192" s="68">
        <f t="shared" si="215"/>
        <v>1.0027157713556663</v>
      </c>
      <c r="CR192" s="68">
        <f t="shared" si="216"/>
        <v>0</v>
      </c>
      <c r="CS192" s="68">
        <f t="shared" si="217"/>
        <v>0.48899531699999998</v>
      </c>
      <c r="CT192" s="68">
        <f t="shared" si="265"/>
        <v>0.23911642</v>
      </c>
      <c r="CU192" s="68">
        <f t="shared" si="218"/>
        <v>0</v>
      </c>
      <c r="CV192" s="68">
        <f t="shared" si="219"/>
        <v>0</v>
      </c>
      <c r="CW192" s="68">
        <f t="shared" si="220"/>
        <v>0</v>
      </c>
      <c r="CX192" s="68">
        <f t="shared" si="221"/>
        <v>0</v>
      </c>
      <c r="CY192" s="68">
        <f t="shared" si="222"/>
        <v>0</v>
      </c>
      <c r="CZ192" s="68" t="e">
        <f t="shared" si="223"/>
        <v>#DIV/0!</v>
      </c>
      <c r="DA192" s="68" t="e">
        <f t="shared" si="224"/>
        <v>#DIV/0!</v>
      </c>
      <c r="DB192" s="68" t="e">
        <f t="shared" si="225"/>
        <v>#DIV/0!</v>
      </c>
      <c r="DC192" s="68" t="e">
        <f t="shared" si="226"/>
        <v>#DIV/0!</v>
      </c>
      <c r="DD192" s="68" t="e">
        <f t="shared" si="227"/>
        <v>#DIV/0!</v>
      </c>
      <c r="DE192" s="68" t="e">
        <f t="shared" si="228"/>
        <v>#DIV/0!</v>
      </c>
      <c r="DF192" s="68" t="e">
        <f t="shared" si="266"/>
        <v>#DIV/0!</v>
      </c>
      <c r="DG192" s="68">
        <f t="shared" si="229"/>
        <v>0.45480516874807669</v>
      </c>
      <c r="DH192" s="68">
        <f t="shared" si="230"/>
        <v>1.3986079121535113</v>
      </c>
      <c r="DI192" s="68">
        <f t="shared" si="231"/>
        <v>0</v>
      </c>
      <c r="DJ192" s="68" t="e">
        <f t="shared" si="232"/>
        <v>#DIV/0!</v>
      </c>
      <c r="DK192" s="68" t="e">
        <f t="shared" si="233"/>
        <v>#DIV/0!</v>
      </c>
      <c r="DL192" s="68" t="e">
        <f t="shared" si="234"/>
        <v>#DIV/0!</v>
      </c>
      <c r="DM192" s="68" t="e">
        <f t="shared" si="235"/>
        <v>#DIV/0!</v>
      </c>
      <c r="DN192" s="68" t="e">
        <f t="shared" si="236"/>
        <v>#DIV/0!</v>
      </c>
      <c r="DO192" s="68" t="e">
        <f t="shared" si="237"/>
        <v>#DIV/0!</v>
      </c>
      <c r="DP192" s="68" t="e">
        <f t="shared" si="238"/>
        <v>#DIV/0!</v>
      </c>
      <c r="DQ192" s="68" t="e">
        <f t="shared" si="239"/>
        <v>#DIV/0!</v>
      </c>
      <c r="DR192" s="68" t="e">
        <f t="shared" si="240"/>
        <v>#DIV/0!</v>
      </c>
      <c r="DS192" s="68" t="e">
        <f t="shared" si="241"/>
        <v>#DIV/0!</v>
      </c>
      <c r="DT192" s="68" t="e">
        <f t="shared" si="242"/>
        <v>#DIV/0!</v>
      </c>
      <c r="DU192" s="68" t="e">
        <f t="shared" si="267"/>
        <v>#DIV/0!</v>
      </c>
      <c r="DV192" s="68" t="e">
        <f t="shared" si="243"/>
        <v>#DIV/0!</v>
      </c>
      <c r="DW192" s="68" t="e">
        <f t="shared" si="268"/>
        <v>#DIV/0!</v>
      </c>
      <c r="DX192" s="68">
        <f t="shared" si="244"/>
        <v>26.05841667</v>
      </c>
      <c r="DY192" s="68">
        <f t="shared" si="245"/>
        <v>80.134330559999995</v>
      </c>
      <c r="DZ192" s="68" t="e">
        <f t="shared" si="246"/>
        <v>#DIV/0!</v>
      </c>
      <c r="EA192" s="68" t="e">
        <f t="shared" si="247"/>
        <v>#DIV/0!</v>
      </c>
      <c r="EB192" s="68" t="e">
        <f t="shared" si="248"/>
        <v>#DIV/0!</v>
      </c>
      <c r="EC192" s="68" t="e">
        <f t="shared" si="249"/>
        <v>#DIV/0!</v>
      </c>
      <c r="ED192" s="68" t="e">
        <f t="shared" si="250"/>
        <v>#DIV/0!</v>
      </c>
      <c r="EE192" s="68" t="e">
        <f t="shared" si="251"/>
        <v>#DIV/0!</v>
      </c>
      <c r="EF192" s="68" t="e">
        <f t="shared" si="252"/>
        <v>#DIV/0!</v>
      </c>
      <c r="EG192" s="68" t="e">
        <f t="shared" si="253"/>
        <v>#DIV/0!</v>
      </c>
      <c r="EH192" s="68" t="e">
        <f t="shared" si="269"/>
        <v>#DIV/0!</v>
      </c>
      <c r="EI192" s="68" t="e">
        <f t="shared" si="254"/>
        <v>#DIV/0!</v>
      </c>
      <c r="EJ192" s="68" t="e">
        <f t="shared" si="255"/>
        <v>#DIV/0!</v>
      </c>
      <c r="EK192" s="68" t="e">
        <f t="shared" si="256"/>
        <v>#DIV/0!</v>
      </c>
      <c r="EL192" s="68" t="e">
        <f t="shared" si="257"/>
        <v>#DIV/0!</v>
      </c>
      <c r="EM192" s="68" t="e">
        <f t="shared" si="258"/>
        <v>#DIV/0!</v>
      </c>
      <c r="EN192" s="68" t="e">
        <f t="shared" si="259"/>
        <v>#DIV/0!</v>
      </c>
      <c r="EO192" s="68" t="e">
        <f t="shared" si="260"/>
        <v>#DIV/0!</v>
      </c>
      <c r="EP192" s="68" t="e">
        <f t="shared" si="261"/>
        <v>#DIV/0!</v>
      </c>
      <c r="EQ192" s="68" t="e">
        <f t="shared" si="262"/>
        <v>#DIV/0!</v>
      </c>
      <c r="ER192" s="68" t="e">
        <f t="shared" si="270"/>
        <v>#DIV/0!</v>
      </c>
    </row>
    <row r="193" spans="82:148" x14ac:dyDescent="0.25">
      <c r="CD193" s="68" t="s">
        <v>716</v>
      </c>
      <c r="CE193" s="69">
        <f t="shared" si="263"/>
        <v>260330.3</v>
      </c>
      <c r="CF193" s="69">
        <f t="shared" si="264"/>
        <v>800803.59</v>
      </c>
      <c r="CG193" s="70">
        <f t="shared" si="271"/>
        <v>0</v>
      </c>
      <c r="CH193" s="69">
        <f t="shared" si="206"/>
        <v>260330.30001199999</v>
      </c>
      <c r="CI193" s="69">
        <f t="shared" si="207"/>
        <v>800803.59001599997</v>
      </c>
      <c r="CJ193" s="68">
        <f t="shared" si="208"/>
        <v>26.05841667</v>
      </c>
      <c r="CK193" s="68">
        <f t="shared" si="209"/>
        <v>80.134330559999995</v>
      </c>
      <c r="CL193" s="68">
        <f t="shared" si="210"/>
        <v>26.05841667</v>
      </c>
      <c r="CM193" s="68">
        <f t="shared" si="211"/>
        <v>80.134330559999995</v>
      </c>
      <c r="CN193" s="68">
        <f t="shared" si="212"/>
        <v>0</v>
      </c>
      <c r="CO193" s="68">
        <f t="shared" si="213"/>
        <v>0</v>
      </c>
      <c r="CP193" s="68">
        <f t="shared" si="214"/>
        <v>0.43928729614546391</v>
      </c>
      <c r="CQ193" s="68">
        <f t="shared" si="215"/>
        <v>1.0027157713556663</v>
      </c>
      <c r="CR193" s="68">
        <f t="shared" si="216"/>
        <v>0</v>
      </c>
      <c r="CS193" s="68">
        <f t="shared" si="217"/>
        <v>0.48899531699999998</v>
      </c>
      <c r="CT193" s="68">
        <f t="shared" si="265"/>
        <v>0.23911642</v>
      </c>
      <c r="CU193" s="68">
        <f t="shared" si="218"/>
        <v>0</v>
      </c>
      <c r="CV193" s="68">
        <f t="shared" si="219"/>
        <v>0</v>
      </c>
      <c r="CW193" s="68">
        <f t="shared" si="220"/>
        <v>0</v>
      </c>
      <c r="CX193" s="68">
        <f t="shared" si="221"/>
        <v>0</v>
      </c>
      <c r="CY193" s="68">
        <f t="shared" si="222"/>
        <v>0</v>
      </c>
      <c r="CZ193" s="68" t="e">
        <f t="shared" si="223"/>
        <v>#DIV/0!</v>
      </c>
      <c r="DA193" s="68" t="e">
        <f t="shared" si="224"/>
        <v>#DIV/0!</v>
      </c>
      <c r="DB193" s="68" t="e">
        <f t="shared" si="225"/>
        <v>#DIV/0!</v>
      </c>
      <c r="DC193" s="68" t="e">
        <f t="shared" si="226"/>
        <v>#DIV/0!</v>
      </c>
      <c r="DD193" s="68" t="e">
        <f t="shared" si="227"/>
        <v>#DIV/0!</v>
      </c>
      <c r="DE193" s="68" t="e">
        <f t="shared" si="228"/>
        <v>#DIV/0!</v>
      </c>
      <c r="DF193" s="68" t="e">
        <f t="shared" si="266"/>
        <v>#DIV/0!</v>
      </c>
      <c r="DG193" s="68">
        <f t="shared" si="229"/>
        <v>0.45480516874807669</v>
      </c>
      <c r="DH193" s="68">
        <f t="shared" si="230"/>
        <v>1.3986079121535113</v>
      </c>
      <c r="DI193" s="68">
        <f t="shared" si="231"/>
        <v>0</v>
      </c>
      <c r="DJ193" s="68" t="e">
        <f t="shared" si="232"/>
        <v>#DIV/0!</v>
      </c>
      <c r="DK193" s="68" t="e">
        <f t="shared" si="233"/>
        <v>#DIV/0!</v>
      </c>
      <c r="DL193" s="68" t="e">
        <f t="shared" si="234"/>
        <v>#DIV/0!</v>
      </c>
      <c r="DM193" s="68" t="e">
        <f t="shared" si="235"/>
        <v>#DIV/0!</v>
      </c>
      <c r="DN193" s="68" t="e">
        <f t="shared" si="236"/>
        <v>#DIV/0!</v>
      </c>
      <c r="DO193" s="68" t="e">
        <f t="shared" si="237"/>
        <v>#DIV/0!</v>
      </c>
      <c r="DP193" s="68" t="e">
        <f t="shared" si="238"/>
        <v>#DIV/0!</v>
      </c>
      <c r="DQ193" s="68" t="e">
        <f t="shared" si="239"/>
        <v>#DIV/0!</v>
      </c>
      <c r="DR193" s="68" t="e">
        <f t="shared" si="240"/>
        <v>#DIV/0!</v>
      </c>
      <c r="DS193" s="68" t="e">
        <f t="shared" si="241"/>
        <v>#DIV/0!</v>
      </c>
      <c r="DT193" s="68" t="e">
        <f t="shared" si="242"/>
        <v>#DIV/0!</v>
      </c>
      <c r="DU193" s="68" t="e">
        <f t="shared" si="267"/>
        <v>#DIV/0!</v>
      </c>
      <c r="DV193" s="68" t="e">
        <f t="shared" si="243"/>
        <v>#DIV/0!</v>
      </c>
      <c r="DW193" s="68" t="e">
        <f t="shared" si="268"/>
        <v>#DIV/0!</v>
      </c>
      <c r="DX193" s="68">
        <f t="shared" si="244"/>
        <v>26.05841667</v>
      </c>
      <c r="DY193" s="68">
        <f t="shared" si="245"/>
        <v>80.134330559999995</v>
      </c>
      <c r="DZ193" s="68" t="e">
        <f t="shared" si="246"/>
        <v>#DIV/0!</v>
      </c>
      <c r="EA193" s="68" t="e">
        <f t="shared" si="247"/>
        <v>#DIV/0!</v>
      </c>
      <c r="EB193" s="68" t="e">
        <f t="shared" si="248"/>
        <v>#DIV/0!</v>
      </c>
      <c r="EC193" s="68" t="e">
        <f t="shared" si="249"/>
        <v>#DIV/0!</v>
      </c>
      <c r="ED193" s="68" t="e">
        <f t="shared" si="250"/>
        <v>#DIV/0!</v>
      </c>
      <c r="EE193" s="68" t="e">
        <f t="shared" si="251"/>
        <v>#DIV/0!</v>
      </c>
      <c r="EF193" s="68" t="e">
        <f t="shared" si="252"/>
        <v>#DIV/0!</v>
      </c>
      <c r="EG193" s="68" t="e">
        <f t="shared" si="253"/>
        <v>#DIV/0!</v>
      </c>
      <c r="EH193" s="68" t="e">
        <f t="shared" si="269"/>
        <v>#DIV/0!</v>
      </c>
      <c r="EI193" s="68" t="e">
        <f t="shared" si="254"/>
        <v>#DIV/0!</v>
      </c>
      <c r="EJ193" s="68" t="e">
        <f t="shared" si="255"/>
        <v>#DIV/0!</v>
      </c>
      <c r="EK193" s="68" t="e">
        <f t="shared" si="256"/>
        <v>#DIV/0!</v>
      </c>
      <c r="EL193" s="68" t="e">
        <f t="shared" si="257"/>
        <v>#DIV/0!</v>
      </c>
      <c r="EM193" s="68" t="e">
        <f t="shared" si="258"/>
        <v>#DIV/0!</v>
      </c>
      <c r="EN193" s="68" t="e">
        <f t="shared" si="259"/>
        <v>#DIV/0!</v>
      </c>
      <c r="EO193" s="68" t="e">
        <f t="shared" si="260"/>
        <v>#DIV/0!</v>
      </c>
      <c r="EP193" s="68" t="e">
        <f t="shared" si="261"/>
        <v>#DIV/0!</v>
      </c>
      <c r="EQ193" s="68" t="e">
        <f t="shared" si="262"/>
        <v>#DIV/0!</v>
      </c>
      <c r="ER193" s="68" t="e">
        <f t="shared" si="270"/>
        <v>#DIV/0!</v>
      </c>
    </row>
    <row r="194" spans="82:148" x14ac:dyDescent="0.25">
      <c r="CD194" s="68" t="s">
        <v>717</v>
      </c>
      <c r="CE194" s="69">
        <f t="shared" si="263"/>
        <v>260330.3</v>
      </c>
      <c r="CF194" s="69">
        <f t="shared" si="264"/>
        <v>800803.59</v>
      </c>
      <c r="CG194" s="70">
        <f t="shared" si="271"/>
        <v>0</v>
      </c>
      <c r="CH194" s="69">
        <f t="shared" si="206"/>
        <v>260330.30001199999</v>
      </c>
      <c r="CI194" s="69">
        <f t="shared" si="207"/>
        <v>800803.59001599997</v>
      </c>
      <c r="CJ194" s="68">
        <f t="shared" si="208"/>
        <v>26.05841667</v>
      </c>
      <c r="CK194" s="68">
        <f t="shared" si="209"/>
        <v>80.134330559999995</v>
      </c>
      <c r="CL194" s="68">
        <f t="shared" si="210"/>
        <v>26.05841667</v>
      </c>
      <c r="CM194" s="68">
        <f t="shared" si="211"/>
        <v>80.134330559999995</v>
      </c>
      <c r="CN194" s="68">
        <f t="shared" si="212"/>
        <v>0</v>
      </c>
      <c r="CO194" s="68">
        <f t="shared" si="213"/>
        <v>0</v>
      </c>
      <c r="CP194" s="68">
        <f t="shared" si="214"/>
        <v>0.43928729614546391</v>
      </c>
      <c r="CQ194" s="68">
        <f t="shared" si="215"/>
        <v>1.0027157713556663</v>
      </c>
      <c r="CR194" s="68">
        <f t="shared" si="216"/>
        <v>0</v>
      </c>
      <c r="CS194" s="68">
        <f t="shared" si="217"/>
        <v>0.48899531699999998</v>
      </c>
      <c r="CT194" s="68">
        <f t="shared" si="265"/>
        <v>0.23911642</v>
      </c>
      <c r="CU194" s="68">
        <f t="shared" si="218"/>
        <v>0</v>
      </c>
      <c r="CV194" s="68">
        <f t="shared" si="219"/>
        <v>0</v>
      </c>
      <c r="CW194" s="68">
        <f t="shared" si="220"/>
        <v>0</v>
      </c>
      <c r="CX194" s="68">
        <f t="shared" si="221"/>
        <v>0</v>
      </c>
      <c r="CY194" s="68">
        <f t="shared" si="222"/>
        <v>0</v>
      </c>
      <c r="CZ194" s="68" t="e">
        <f t="shared" si="223"/>
        <v>#DIV/0!</v>
      </c>
      <c r="DA194" s="68" t="e">
        <f t="shared" si="224"/>
        <v>#DIV/0!</v>
      </c>
      <c r="DB194" s="68" t="e">
        <f t="shared" si="225"/>
        <v>#DIV/0!</v>
      </c>
      <c r="DC194" s="68" t="e">
        <f t="shared" si="226"/>
        <v>#DIV/0!</v>
      </c>
      <c r="DD194" s="68" t="e">
        <f t="shared" si="227"/>
        <v>#DIV/0!</v>
      </c>
      <c r="DE194" s="68" t="e">
        <f t="shared" si="228"/>
        <v>#DIV/0!</v>
      </c>
      <c r="DF194" s="68" t="e">
        <f t="shared" si="266"/>
        <v>#DIV/0!</v>
      </c>
      <c r="DG194" s="68">
        <f t="shared" si="229"/>
        <v>0.45480516874807669</v>
      </c>
      <c r="DH194" s="68">
        <f t="shared" si="230"/>
        <v>1.3986079121535113</v>
      </c>
      <c r="DI194" s="68">
        <f t="shared" si="231"/>
        <v>0</v>
      </c>
      <c r="DJ194" s="68" t="e">
        <f t="shared" si="232"/>
        <v>#DIV/0!</v>
      </c>
      <c r="DK194" s="68" t="e">
        <f t="shared" si="233"/>
        <v>#DIV/0!</v>
      </c>
      <c r="DL194" s="68" t="e">
        <f t="shared" si="234"/>
        <v>#DIV/0!</v>
      </c>
      <c r="DM194" s="68" t="e">
        <f t="shared" si="235"/>
        <v>#DIV/0!</v>
      </c>
      <c r="DN194" s="68" t="e">
        <f t="shared" si="236"/>
        <v>#DIV/0!</v>
      </c>
      <c r="DO194" s="68" t="e">
        <f t="shared" si="237"/>
        <v>#DIV/0!</v>
      </c>
      <c r="DP194" s="68" t="e">
        <f t="shared" si="238"/>
        <v>#DIV/0!</v>
      </c>
      <c r="DQ194" s="68" t="e">
        <f t="shared" si="239"/>
        <v>#DIV/0!</v>
      </c>
      <c r="DR194" s="68" t="e">
        <f t="shared" si="240"/>
        <v>#DIV/0!</v>
      </c>
      <c r="DS194" s="68" t="e">
        <f t="shared" si="241"/>
        <v>#DIV/0!</v>
      </c>
      <c r="DT194" s="68" t="e">
        <f t="shared" si="242"/>
        <v>#DIV/0!</v>
      </c>
      <c r="DU194" s="68" t="e">
        <f t="shared" si="267"/>
        <v>#DIV/0!</v>
      </c>
      <c r="DV194" s="68" t="e">
        <f t="shared" si="243"/>
        <v>#DIV/0!</v>
      </c>
      <c r="DW194" s="68" t="e">
        <f t="shared" si="268"/>
        <v>#DIV/0!</v>
      </c>
      <c r="DX194" s="68">
        <f t="shared" si="244"/>
        <v>26.05841667</v>
      </c>
      <c r="DY194" s="68">
        <f t="shared" si="245"/>
        <v>80.134330559999995</v>
      </c>
      <c r="DZ194" s="68" t="e">
        <f t="shared" si="246"/>
        <v>#DIV/0!</v>
      </c>
      <c r="EA194" s="68" t="e">
        <f t="shared" si="247"/>
        <v>#DIV/0!</v>
      </c>
      <c r="EB194" s="68" t="e">
        <f t="shared" si="248"/>
        <v>#DIV/0!</v>
      </c>
      <c r="EC194" s="68" t="e">
        <f t="shared" si="249"/>
        <v>#DIV/0!</v>
      </c>
      <c r="ED194" s="68" t="e">
        <f t="shared" si="250"/>
        <v>#DIV/0!</v>
      </c>
      <c r="EE194" s="68" t="e">
        <f t="shared" si="251"/>
        <v>#DIV/0!</v>
      </c>
      <c r="EF194" s="68" t="e">
        <f t="shared" si="252"/>
        <v>#DIV/0!</v>
      </c>
      <c r="EG194" s="68" t="e">
        <f t="shared" si="253"/>
        <v>#DIV/0!</v>
      </c>
      <c r="EH194" s="68" t="e">
        <f t="shared" si="269"/>
        <v>#DIV/0!</v>
      </c>
      <c r="EI194" s="68" t="e">
        <f t="shared" si="254"/>
        <v>#DIV/0!</v>
      </c>
      <c r="EJ194" s="68" t="e">
        <f t="shared" si="255"/>
        <v>#DIV/0!</v>
      </c>
      <c r="EK194" s="68" t="e">
        <f t="shared" si="256"/>
        <v>#DIV/0!</v>
      </c>
      <c r="EL194" s="68" t="e">
        <f t="shared" si="257"/>
        <v>#DIV/0!</v>
      </c>
      <c r="EM194" s="68" t="e">
        <f t="shared" si="258"/>
        <v>#DIV/0!</v>
      </c>
      <c r="EN194" s="68" t="e">
        <f t="shared" si="259"/>
        <v>#DIV/0!</v>
      </c>
      <c r="EO194" s="68" t="e">
        <f t="shared" si="260"/>
        <v>#DIV/0!</v>
      </c>
      <c r="EP194" s="68" t="e">
        <f t="shared" si="261"/>
        <v>#DIV/0!</v>
      </c>
      <c r="EQ194" s="68" t="e">
        <f t="shared" si="262"/>
        <v>#DIV/0!</v>
      </c>
      <c r="ER194" s="68" t="e">
        <f t="shared" si="270"/>
        <v>#DIV/0!</v>
      </c>
    </row>
    <row r="195" spans="82:148" x14ac:dyDescent="0.25">
      <c r="CD195" s="68" t="s">
        <v>718</v>
      </c>
      <c r="CE195" s="69">
        <f t="shared" si="263"/>
        <v>260330.3</v>
      </c>
      <c r="CF195" s="69">
        <f t="shared" si="264"/>
        <v>800803.59</v>
      </c>
      <c r="CG195" s="70">
        <f t="shared" si="271"/>
        <v>0</v>
      </c>
      <c r="CH195" s="69">
        <f t="shared" si="206"/>
        <v>260330.30001199999</v>
      </c>
      <c r="CI195" s="69">
        <f t="shared" si="207"/>
        <v>800803.59001599997</v>
      </c>
      <c r="CJ195" s="68">
        <f t="shared" si="208"/>
        <v>26.05841667</v>
      </c>
      <c r="CK195" s="68">
        <f t="shared" si="209"/>
        <v>80.134330559999995</v>
      </c>
      <c r="CL195" s="68">
        <f t="shared" si="210"/>
        <v>26.05841667</v>
      </c>
      <c r="CM195" s="68">
        <f t="shared" si="211"/>
        <v>80.134330559999995</v>
      </c>
      <c r="CN195" s="68">
        <f t="shared" si="212"/>
        <v>0</v>
      </c>
      <c r="CO195" s="68">
        <f t="shared" si="213"/>
        <v>0</v>
      </c>
      <c r="CP195" s="68">
        <f t="shared" si="214"/>
        <v>0.43928729614546391</v>
      </c>
      <c r="CQ195" s="68">
        <f t="shared" si="215"/>
        <v>1.0027157713556663</v>
      </c>
      <c r="CR195" s="68">
        <f t="shared" si="216"/>
        <v>0</v>
      </c>
      <c r="CS195" s="68">
        <f t="shared" si="217"/>
        <v>0.48899531699999998</v>
      </c>
      <c r="CT195" s="68">
        <f t="shared" si="265"/>
        <v>0.23911642</v>
      </c>
      <c r="CU195" s="68">
        <f t="shared" si="218"/>
        <v>0</v>
      </c>
      <c r="CV195" s="68">
        <f t="shared" si="219"/>
        <v>0</v>
      </c>
      <c r="CW195" s="68">
        <f t="shared" si="220"/>
        <v>0</v>
      </c>
      <c r="CX195" s="68">
        <f t="shared" si="221"/>
        <v>0</v>
      </c>
      <c r="CY195" s="68">
        <f t="shared" si="222"/>
        <v>0</v>
      </c>
      <c r="CZ195" s="68" t="e">
        <f t="shared" si="223"/>
        <v>#DIV/0!</v>
      </c>
      <c r="DA195" s="68" t="e">
        <f t="shared" si="224"/>
        <v>#DIV/0!</v>
      </c>
      <c r="DB195" s="68" t="e">
        <f t="shared" si="225"/>
        <v>#DIV/0!</v>
      </c>
      <c r="DC195" s="68" t="e">
        <f t="shared" si="226"/>
        <v>#DIV/0!</v>
      </c>
      <c r="DD195" s="68" t="e">
        <f t="shared" si="227"/>
        <v>#DIV/0!</v>
      </c>
      <c r="DE195" s="68" t="e">
        <f t="shared" si="228"/>
        <v>#DIV/0!</v>
      </c>
      <c r="DF195" s="68" t="e">
        <f t="shared" si="266"/>
        <v>#DIV/0!</v>
      </c>
      <c r="DG195" s="68">
        <f t="shared" si="229"/>
        <v>0.45480516874807669</v>
      </c>
      <c r="DH195" s="68">
        <f t="shared" si="230"/>
        <v>1.3986079121535113</v>
      </c>
      <c r="DI195" s="68">
        <f t="shared" si="231"/>
        <v>0</v>
      </c>
      <c r="DJ195" s="68" t="e">
        <f t="shared" si="232"/>
        <v>#DIV/0!</v>
      </c>
      <c r="DK195" s="68" t="e">
        <f t="shared" si="233"/>
        <v>#DIV/0!</v>
      </c>
      <c r="DL195" s="68" t="e">
        <f t="shared" si="234"/>
        <v>#DIV/0!</v>
      </c>
      <c r="DM195" s="68" t="e">
        <f t="shared" si="235"/>
        <v>#DIV/0!</v>
      </c>
      <c r="DN195" s="68" t="e">
        <f t="shared" si="236"/>
        <v>#DIV/0!</v>
      </c>
      <c r="DO195" s="68" t="e">
        <f t="shared" si="237"/>
        <v>#DIV/0!</v>
      </c>
      <c r="DP195" s="68" t="e">
        <f t="shared" si="238"/>
        <v>#DIV/0!</v>
      </c>
      <c r="DQ195" s="68" t="e">
        <f t="shared" si="239"/>
        <v>#DIV/0!</v>
      </c>
      <c r="DR195" s="68" t="e">
        <f t="shared" si="240"/>
        <v>#DIV/0!</v>
      </c>
      <c r="DS195" s="68" t="e">
        <f t="shared" si="241"/>
        <v>#DIV/0!</v>
      </c>
      <c r="DT195" s="68" t="e">
        <f t="shared" si="242"/>
        <v>#DIV/0!</v>
      </c>
      <c r="DU195" s="68" t="e">
        <f t="shared" si="267"/>
        <v>#DIV/0!</v>
      </c>
      <c r="DV195" s="68" t="e">
        <f t="shared" si="243"/>
        <v>#DIV/0!</v>
      </c>
      <c r="DW195" s="68" t="e">
        <f t="shared" si="268"/>
        <v>#DIV/0!</v>
      </c>
      <c r="DX195" s="68">
        <f t="shared" si="244"/>
        <v>26.05841667</v>
      </c>
      <c r="DY195" s="68">
        <f t="shared" si="245"/>
        <v>80.134330559999995</v>
      </c>
      <c r="DZ195" s="68" t="e">
        <f t="shared" si="246"/>
        <v>#DIV/0!</v>
      </c>
      <c r="EA195" s="68" t="e">
        <f t="shared" si="247"/>
        <v>#DIV/0!</v>
      </c>
      <c r="EB195" s="68" t="e">
        <f t="shared" si="248"/>
        <v>#DIV/0!</v>
      </c>
      <c r="EC195" s="68" t="e">
        <f t="shared" si="249"/>
        <v>#DIV/0!</v>
      </c>
      <c r="ED195" s="68" t="e">
        <f t="shared" si="250"/>
        <v>#DIV/0!</v>
      </c>
      <c r="EE195" s="68" t="e">
        <f t="shared" si="251"/>
        <v>#DIV/0!</v>
      </c>
      <c r="EF195" s="68" t="e">
        <f t="shared" si="252"/>
        <v>#DIV/0!</v>
      </c>
      <c r="EG195" s="68" t="e">
        <f t="shared" si="253"/>
        <v>#DIV/0!</v>
      </c>
      <c r="EH195" s="68" t="e">
        <f t="shared" si="269"/>
        <v>#DIV/0!</v>
      </c>
      <c r="EI195" s="68" t="e">
        <f t="shared" si="254"/>
        <v>#DIV/0!</v>
      </c>
      <c r="EJ195" s="68" t="e">
        <f t="shared" si="255"/>
        <v>#DIV/0!</v>
      </c>
      <c r="EK195" s="68" t="e">
        <f t="shared" si="256"/>
        <v>#DIV/0!</v>
      </c>
      <c r="EL195" s="68" t="e">
        <f t="shared" si="257"/>
        <v>#DIV/0!</v>
      </c>
      <c r="EM195" s="68" t="e">
        <f t="shared" si="258"/>
        <v>#DIV/0!</v>
      </c>
      <c r="EN195" s="68" t="e">
        <f t="shared" si="259"/>
        <v>#DIV/0!</v>
      </c>
      <c r="EO195" s="68" t="e">
        <f t="shared" si="260"/>
        <v>#DIV/0!</v>
      </c>
      <c r="EP195" s="68" t="e">
        <f t="shared" si="261"/>
        <v>#DIV/0!</v>
      </c>
      <c r="EQ195" s="68" t="e">
        <f t="shared" si="262"/>
        <v>#DIV/0!</v>
      </c>
      <c r="ER195" s="68" t="e">
        <f t="shared" si="270"/>
        <v>#DIV/0!</v>
      </c>
    </row>
    <row r="196" spans="82:148" x14ac:dyDescent="0.25">
      <c r="CD196" s="68" t="s">
        <v>719</v>
      </c>
      <c r="CE196" s="69">
        <f t="shared" si="263"/>
        <v>260330.3</v>
      </c>
      <c r="CF196" s="69">
        <f t="shared" si="264"/>
        <v>800803.59</v>
      </c>
      <c r="CG196" s="70">
        <f t="shared" si="271"/>
        <v>0</v>
      </c>
      <c r="CH196" s="69">
        <f t="shared" si="206"/>
        <v>260330.30001199999</v>
      </c>
      <c r="CI196" s="69">
        <f t="shared" si="207"/>
        <v>800803.59001599997</v>
      </c>
      <c r="CJ196" s="68">
        <f t="shared" si="208"/>
        <v>26.05841667</v>
      </c>
      <c r="CK196" s="68">
        <f t="shared" si="209"/>
        <v>80.134330559999995</v>
      </c>
      <c r="CL196" s="68">
        <f t="shared" si="210"/>
        <v>26.05841667</v>
      </c>
      <c r="CM196" s="68">
        <f t="shared" si="211"/>
        <v>80.134330559999995</v>
      </c>
      <c r="CN196" s="68">
        <f t="shared" si="212"/>
        <v>0</v>
      </c>
      <c r="CO196" s="68">
        <f t="shared" si="213"/>
        <v>0</v>
      </c>
      <c r="CP196" s="68">
        <f t="shared" si="214"/>
        <v>0.43928729614546391</v>
      </c>
      <c r="CQ196" s="68">
        <f t="shared" si="215"/>
        <v>1.0027157713556663</v>
      </c>
      <c r="CR196" s="68">
        <f t="shared" si="216"/>
        <v>0</v>
      </c>
      <c r="CS196" s="68">
        <f t="shared" si="217"/>
        <v>0.48899531699999998</v>
      </c>
      <c r="CT196" s="68">
        <f t="shared" si="265"/>
        <v>0.23911642</v>
      </c>
      <c r="CU196" s="68">
        <f t="shared" si="218"/>
        <v>0</v>
      </c>
      <c r="CV196" s="68">
        <f t="shared" si="219"/>
        <v>0</v>
      </c>
      <c r="CW196" s="68">
        <f t="shared" si="220"/>
        <v>0</v>
      </c>
      <c r="CX196" s="68">
        <f t="shared" si="221"/>
        <v>0</v>
      </c>
      <c r="CY196" s="68">
        <f t="shared" si="222"/>
        <v>0</v>
      </c>
      <c r="CZ196" s="68" t="e">
        <f t="shared" si="223"/>
        <v>#DIV/0!</v>
      </c>
      <c r="DA196" s="68" t="e">
        <f t="shared" si="224"/>
        <v>#DIV/0!</v>
      </c>
      <c r="DB196" s="68" t="e">
        <f t="shared" si="225"/>
        <v>#DIV/0!</v>
      </c>
      <c r="DC196" s="68" t="e">
        <f t="shared" si="226"/>
        <v>#DIV/0!</v>
      </c>
      <c r="DD196" s="68" t="e">
        <f t="shared" si="227"/>
        <v>#DIV/0!</v>
      </c>
      <c r="DE196" s="68" t="e">
        <f t="shared" si="228"/>
        <v>#DIV/0!</v>
      </c>
      <c r="DF196" s="68" t="e">
        <f t="shared" si="266"/>
        <v>#DIV/0!</v>
      </c>
      <c r="DG196" s="68">
        <f t="shared" si="229"/>
        <v>0.45480516874807669</v>
      </c>
      <c r="DH196" s="68">
        <f t="shared" si="230"/>
        <v>1.3986079121535113</v>
      </c>
      <c r="DI196" s="68">
        <f t="shared" si="231"/>
        <v>0</v>
      </c>
      <c r="DJ196" s="68" t="e">
        <f t="shared" si="232"/>
        <v>#DIV/0!</v>
      </c>
      <c r="DK196" s="68" t="e">
        <f t="shared" si="233"/>
        <v>#DIV/0!</v>
      </c>
      <c r="DL196" s="68" t="e">
        <f t="shared" si="234"/>
        <v>#DIV/0!</v>
      </c>
      <c r="DM196" s="68" t="e">
        <f t="shared" si="235"/>
        <v>#DIV/0!</v>
      </c>
      <c r="DN196" s="68" t="e">
        <f t="shared" si="236"/>
        <v>#DIV/0!</v>
      </c>
      <c r="DO196" s="68" t="e">
        <f t="shared" si="237"/>
        <v>#DIV/0!</v>
      </c>
      <c r="DP196" s="68" t="e">
        <f t="shared" si="238"/>
        <v>#DIV/0!</v>
      </c>
      <c r="DQ196" s="68" t="e">
        <f t="shared" si="239"/>
        <v>#DIV/0!</v>
      </c>
      <c r="DR196" s="68" t="e">
        <f t="shared" si="240"/>
        <v>#DIV/0!</v>
      </c>
      <c r="DS196" s="68" t="e">
        <f t="shared" si="241"/>
        <v>#DIV/0!</v>
      </c>
      <c r="DT196" s="68" t="e">
        <f t="shared" si="242"/>
        <v>#DIV/0!</v>
      </c>
      <c r="DU196" s="68" t="e">
        <f t="shared" si="267"/>
        <v>#DIV/0!</v>
      </c>
      <c r="DV196" s="68" t="e">
        <f t="shared" si="243"/>
        <v>#DIV/0!</v>
      </c>
      <c r="DW196" s="68" t="e">
        <f t="shared" si="268"/>
        <v>#DIV/0!</v>
      </c>
      <c r="DX196" s="68">
        <f t="shared" si="244"/>
        <v>26.05841667</v>
      </c>
      <c r="DY196" s="68">
        <f t="shared" si="245"/>
        <v>80.134330559999995</v>
      </c>
      <c r="DZ196" s="68" t="e">
        <f t="shared" si="246"/>
        <v>#DIV/0!</v>
      </c>
      <c r="EA196" s="68" t="e">
        <f t="shared" si="247"/>
        <v>#DIV/0!</v>
      </c>
      <c r="EB196" s="68" t="e">
        <f t="shared" si="248"/>
        <v>#DIV/0!</v>
      </c>
      <c r="EC196" s="68" t="e">
        <f t="shared" si="249"/>
        <v>#DIV/0!</v>
      </c>
      <c r="ED196" s="68" t="e">
        <f t="shared" si="250"/>
        <v>#DIV/0!</v>
      </c>
      <c r="EE196" s="68" t="e">
        <f t="shared" si="251"/>
        <v>#DIV/0!</v>
      </c>
      <c r="EF196" s="68" t="e">
        <f t="shared" si="252"/>
        <v>#DIV/0!</v>
      </c>
      <c r="EG196" s="68" t="e">
        <f t="shared" si="253"/>
        <v>#DIV/0!</v>
      </c>
      <c r="EH196" s="68" t="e">
        <f t="shared" si="269"/>
        <v>#DIV/0!</v>
      </c>
      <c r="EI196" s="68" t="e">
        <f t="shared" si="254"/>
        <v>#DIV/0!</v>
      </c>
      <c r="EJ196" s="68" t="e">
        <f t="shared" si="255"/>
        <v>#DIV/0!</v>
      </c>
      <c r="EK196" s="68" t="e">
        <f t="shared" si="256"/>
        <v>#DIV/0!</v>
      </c>
      <c r="EL196" s="68" t="e">
        <f t="shared" si="257"/>
        <v>#DIV/0!</v>
      </c>
      <c r="EM196" s="68" t="e">
        <f t="shared" si="258"/>
        <v>#DIV/0!</v>
      </c>
      <c r="EN196" s="68" t="e">
        <f t="shared" si="259"/>
        <v>#DIV/0!</v>
      </c>
      <c r="EO196" s="68" t="e">
        <f t="shared" si="260"/>
        <v>#DIV/0!</v>
      </c>
      <c r="EP196" s="68" t="e">
        <f t="shared" si="261"/>
        <v>#DIV/0!</v>
      </c>
      <c r="EQ196" s="68" t="e">
        <f t="shared" si="262"/>
        <v>#DIV/0!</v>
      </c>
      <c r="ER196" s="68" t="e">
        <f t="shared" si="270"/>
        <v>#DIV/0!</v>
      </c>
    </row>
    <row r="197" spans="82:148" x14ac:dyDescent="0.25">
      <c r="CD197" s="68" t="s">
        <v>720</v>
      </c>
      <c r="CE197" s="69">
        <f t="shared" si="263"/>
        <v>260330.3</v>
      </c>
      <c r="CF197" s="69">
        <f t="shared" si="264"/>
        <v>800803.59</v>
      </c>
      <c r="CG197" s="70">
        <f t="shared" si="271"/>
        <v>0</v>
      </c>
      <c r="CH197" s="69">
        <f t="shared" si="206"/>
        <v>260330.30001199999</v>
      </c>
      <c r="CI197" s="69">
        <f t="shared" si="207"/>
        <v>800803.59001599997</v>
      </c>
      <c r="CJ197" s="68">
        <f t="shared" si="208"/>
        <v>26.05841667</v>
      </c>
      <c r="CK197" s="68">
        <f t="shared" si="209"/>
        <v>80.134330559999995</v>
      </c>
      <c r="CL197" s="68">
        <f t="shared" si="210"/>
        <v>26.05841667</v>
      </c>
      <c r="CM197" s="68">
        <f t="shared" si="211"/>
        <v>80.134330559999995</v>
      </c>
      <c r="CN197" s="68">
        <f t="shared" si="212"/>
        <v>0</v>
      </c>
      <c r="CO197" s="68">
        <f t="shared" si="213"/>
        <v>0</v>
      </c>
      <c r="CP197" s="68">
        <f t="shared" si="214"/>
        <v>0.43928729614546391</v>
      </c>
      <c r="CQ197" s="68">
        <f t="shared" si="215"/>
        <v>1.0027157713556663</v>
      </c>
      <c r="CR197" s="68">
        <f t="shared" si="216"/>
        <v>0</v>
      </c>
      <c r="CS197" s="68">
        <f t="shared" si="217"/>
        <v>0.48899531699999998</v>
      </c>
      <c r="CT197" s="68">
        <f t="shared" si="265"/>
        <v>0.23911642</v>
      </c>
      <c r="CU197" s="68">
        <f t="shared" si="218"/>
        <v>0</v>
      </c>
      <c r="CV197" s="68">
        <f t="shared" si="219"/>
        <v>0</v>
      </c>
      <c r="CW197" s="68">
        <f t="shared" si="220"/>
        <v>0</v>
      </c>
      <c r="CX197" s="68">
        <f t="shared" si="221"/>
        <v>0</v>
      </c>
      <c r="CY197" s="68">
        <f t="shared" si="222"/>
        <v>0</v>
      </c>
      <c r="CZ197" s="68" t="e">
        <f t="shared" si="223"/>
        <v>#DIV/0!</v>
      </c>
      <c r="DA197" s="68" t="e">
        <f t="shared" si="224"/>
        <v>#DIV/0!</v>
      </c>
      <c r="DB197" s="68" t="e">
        <f t="shared" si="225"/>
        <v>#DIV/0!</v>
      </c>
      <c r="DC197" s="68" t="e">
        <f t="shared" si="226"/>
        <v>#DIV/0!</v>
      </c>
      <c r="DD197" s="68" t="e">
        <f t="shared" si="227"/>
        <v>#DIV/0!</v>
      </c>
      <c r="DE197" s="68" t="e">
        <f t="shared" si="228"/>
        <v>#DIV/0!</v>
      </c>
      <c r="DF197" s="68" t="e">
        <f t="shared" si="266"/>
        <v>#DIV/0!</v>
      </c>
      <c r="DG197" s="68">
        <f t="shared" si="229"/>
        <v>0.45480516874807669</v>
      </c>
      <c r="DH197" s="68">
        <f t="shared" si="230"/>
        <v>1.3986079121535113</v>
      </c>
      <c r="DI197" s="68">
        <f t="shared" si="231"/>
        <v>0</v>
      </c>
      <c r="DJ197" s="68" t="e">
        <f t="shared" si="232"/>
        <v>#DIV/0!</v>
      </c>
      <c r="DK197" s="68" t="e">
        <f t="shared" si="233"/>
        <v>#DIV/0!</v>
      </c>
      <c r="DL197" s="68" t="e">
        <f t="shared" si="234"/>
        <v>#DIV/0!</v>
      </c>
      <c r="DM197" s="68" t="e">
        <f t="shared" si="235"/>
        <v>#DIV/0!</v>
      </c>
      <c r="DN197" s="68" t="e">
        <f t="shared" si="236"/>
        <v>#DIV/0!</v>
      </c>
      <c r="DO197" s="68" t="e">
        <f t="shared" si="237"/>
        <v>#DIV/0!</v>
      </c>
      <c r="DP197" s="68" t="e">
        <f t="shared" si="238"/>
        <v>#DIV/0!</v>
      </c>
      <c r="DQ197" s="68" t="e">
        <f t="shared" si="239"/>
        <v>#DIV/0!</v>
      </c>
      <c r="DR197" s="68" t="e">
        <f t="shared" si="240"/>
        <v>#DIV/0!</v>
      </c>
      <c r="DS197" s="68" t="e">
        <f t="shared" si="241"/>
        <v>#DIV/0!</v>
      </c>
      <c r="DT197" s="68" t="e">
        <f t="shared" si="242"/>
        <v>#DIV/0!</v>
      </c>
      <c r="DU197" s="68" t="e">
        <f t="shared" si="267"/>
        <v>#DIV/0!</v>
      </c>
      <c r="DV197" s="68" t="e">
        <f t="shared" si="243"/>
        <v>#DIV/0!</v>
      </c>
      <c r="DW197" s="68" t="e">
        <f t="shared" si="268"/>
        <v>#DIV/0!</v>
      </c>
      <c r="DX197" s="68">
        <f t="shared" si="244"/>
        <v>26.05841667</v>
      </c>
      <c r="DY197" s="68">
        <f t="shared" si="245"/>
        <v>80.134330559999995</v>
      </c>
      <c r="DZ197" s="68" t="e">
        <f t="shared" si="246"/>
        <v>#DIV/0!</v>
      </c>
      <c r="EA197" s="68" t="e">
        <f t="shared" si="247"/>
        <v>#DIV/0!</v>
      </c>
      <c r="EB197" s="68" t="e">
        <f t="shared" si="248"/>
        <v>#DIV/0!</v>
      </c>
      <c r="EC197" s="68" t="e">
        <f t="shared" si="249"/>
        <v>#DIV/0!</v>
      </c>
      <c r="ED197" s="68" t="e">
        <f t="shared" si="250"/>
        <v>#DIV/0!</v>
      </c>
      <c r="EE197" s="68" t="e">
        <f t="shared" si="251"/>
        <v>#DIV/0!</v>
      </c>
      <c r="EF197" s="68" t="e">
        <f t="shared" si="252"/>
        <v>#DIV/0!</v>
      </c>
      <c r="EG197" s="68" t="e">
        <f t="shared" si="253"/>
        <v>#DIV/0!</v>
      </c>
      <c r="EH197" s="68" t="e">
        <f t="shared" si="269"/>
        <v>#DIV/0!</v>
      </c>
      <c r="EI197" s="68" t="e">
        <f t="shared" si="254"/>
        <v>#DIV/0!</v>
      </c>
      <c r="EJ197" s="68" t="e">
        <f t="shared" si="255"/>
        <v>#DIV/0!</v>
      </c>
      <c r="EK197" s="68" t="e">
        <f t="shared" si="256"/>
        <v>#DIV/0!</v>
      </c>
      <c r="EL197" s="68" t="e">
        <f t="shared" si="257"/>
        <v>#DIV/0!</v>
      </c>
      <c r="EM197" s="68" t="e">
        <f t="shared" si="258"/>
        <v>#DIV/0!</v>
      </c>
      <c r="EN197" s="68" t="e">
        <f t="shared" si="259"/>
        <v>#DIV/0!</v>
      </c>
      <c r="EO197" s="68" t="e">
        <f t="shared" si="260"/>
        <v>#DIV/0!</v>
      </c>
      <c r="EP197" s="68" t="e">
        <f t="shared" si="261"/>
        <v>#DIV/0!</v>
      </c>
      <c r="EQ197" s="68" t="e">
        <f t="shared" si="262"/>
        <v>#DIV/0!</v>
      </c>
      <c r="ER197" s="68" t="e">
        <f t="shared" si="270"/>
        <v>#DIV/0!</v>
      </c>
    </row>
    <row r="198" spans="82:148" x14ac:dyDescent="0.25">
      <c r="CD198" s="68" t="s">
        <v>721</v>
      </c>
      <c r="CE198" s="69">
        <f t="shared" si="263"/>
        <v>260330.3</v>
      </c>
      <c r="CF198" s="69">
        <f t="shared" si="264"/>
        <v>800803.59</v>
      </c>
      <c r="CG198" s="70">
        <f t="shared" si="271"/>
        <v>0</v>
      </c>
      <c r="CH198" s="69">
        <f t="shared" si="206"/>
        <v>260330.30001199999</v>
      </c>
      <c r="CI198" s="69">
        <f t="shared" si="207"/>
        <v>800803.59001599997</v>
      </c>
      <c r="CJ198" s="68">
        <f t="shared" si="208"/>
        <v>26.05841667</v>
      </c>
      <c r="CK198" s="68">
        <f t="shared" si="209"/>
        <v>80.134330559999995</v>
      </c>
      <c r="CL198" s="68">
        <f t="shared" si="210"/>
        <v>26.05841667</v>
      </c>
      <c r="CM198" s="68">
        <f t="shared" si="211"/>
        <v>80.134330559999995</v>
      </c>
      <c r="CN198" s="68">
        <f t="shared" si="212"/>
        <v>0</v>
      </c>
      <c r="CO198" s="68">
        <f t="shared" si="213"/>
        <v>0</v>
      </c>
      <c r="CP198" s="68">
        <f t="shared" si="214"/>
        <v>0.43928729614546391</v>
      </c>
      <c r="CQ198" s="68">
        <f t="shared" si="215"/>
        <v>1.0027157713556663</v>
      </c>
      <c r="CR198" s="68">
        <f t="shared" si="216"/>
        <v>0</v>
      </c>
      <c r="CS198" s="68">
        <f t="shared" si="217"/>
        <v>0.48899531699999998</v>
      </c>
      <c r="CT198" s="68">
        <f t="shared" si="265"/>
        <v>0.23911642</v>
      </c>
      <c r="CU198" s="68">
        <f t="shared" si="218"/>
        <v>0</v>
      </c>
      <c r="CV198" s="68">
        <f t="shared" si="219"/>
        <v>0</v>
      </c>
      <c r="CW198" s="68">
        <f t="shared" si="220"/>
        <v>0</v>
      </c>
      <c r="CX198" s="68">
        <f t="shared" si="221"/>
        <v>0</v>
      </c>
      <c r="CY198" s="68">
        <f t="shared" si="222"/>
        <v>0</v>
      </c>
      <c r="CZ198" s="68" t="e">
        <f t="shared" si="223"/>
        <v>#DIV/0!</v>
      </c>
      <c r="DA198" s="68" t="e">
        <f t="shared" si="224"/>
        <v>#DIV/0!</v>
      </c>
      <c r="DB198" s="68" t="e">
        <f t="shared" si="225"/>
        <v>#DIV/0!</v>
      </c>
      <c r="DC198" s="68" t="e">
        <f t="shared" si="226"/>
        <v>#DIV/0!</v>
      </c>
      <c r="DD198" s="68" t="e">
        <f t="shared" si="227"/>
        <v>#DIV/0!</v>
      </c>
      <c r="DE198" s="68" t="e">
        <f t="shared" si="228"/>
        <v>#DIV/0!</v>
      </c>
      <c r="DF198" s="68" t="e">
        <f t="shared" si="266"/>
        <v>#DIV/0!</v>
      </c>
      <c r="DG198" s="68">
        <f t="shared" si="229"/>
        <v>0.45480516874807669</v>
      </c>
      <c r="DH198" s="68">
        <f t="shared" si="230"/>
        <v>1.3986079121535113</v>
      </c>
      <c r="DI198" s="68">
        <f t="shared" si="231"/>
        <v>0</v>
      </c>
      <c r="DJ198" s="68" t="e">
        <f t="shared" si="232"/>
        <v>#DIV/0!</v>
      </c>
      <c r="DK198" s="68" t="e">
        <f t="shared" si="233"/>
        <v>#DIV/0!</v>
      </c>
      <c r="DL198" s="68" t="e">
        <f t="shared" si="234"/>
        <v>#DIV/0!</v>
      </c>
      <c r="DM198" s="68" t="e">
        <f t="shared" si="235"/>
        <v>#DIV/0!</v>
      </c>
      <c r="DN198" s="68" t="e">
        <f t="shared" si="236"/>
        <v>#DIV/0!</v>
      </c>
      <c r="DO198" s="68" t="e">
        <f t="shared" si="237"/>
        <v>#DIV/0!</v>
      </c>
      <c r="DP198" s="68" t="e">
        <f t="shared" si="238"/>
        <v>#DIV/0!</v>
      </c>
      <c r="DQ198" s="68" t="e">
        <f t="shared" si="239"/>
        <v>#DIV/0!</v>
      </c>
      <c r="DR198" s="68" t="e">
        <f t="shared" si="240"/>
        <v>#DIV/0!</v>
      </c>
      <c r="DS198" s="68" t="e">
        <f t="shared" si="241"/>
        <v>#DIV/0!</v>
      </c>
      <c r="DT198" s="68" t="e">
        <f t="shared" si="242"/>
        <v>#DIV/0!</v>
      </c>
      <c r="DU198" s="68" t="e">
        <f t="shared" si="267"/>
        <v>#DIV/0!</v>
      </c>
      <c r="DV198" s="68" t="e">
        <f t="shared" si="243"/>
        <v>#DIV/0!</v>
      </c>
      <c r="DW198" s="68" t="e">
        <f t="shared" si="268"/>
        <v>#DIV/0!</v>
      </c>
      <c r="DX198" s="68">
        <f t="shared" si="244"/>
        <v>26.05841667</v>
      </c>
      <c r="DY198" s="68">
        <f t="shared" si="245"/>
        <v>80.134330559999995</v>
      </c>
      <c r="DZ198" s="68" t="e">
        <f t="shared" si="246"/>
        <v>#DIV/0!</v>
      </c>
      <c r="EA198" s="68" t="e">
        <f t="shared" si="247"/>
        <v>#DIV/0!</v>
      </c>
      <c r="EB198" s="68" t="e">
        <f t="shared" si="248"/>
        <v>#DIV/0!</v>
      </c>
      <c r="EC198" s="68" t="e">
        <f t="shared" si="249"/>
        <v>#DIV/0!</v>
      </c>
      <c r="ED198" s="68" t="e">
        <f t="shared" si="250"/>
        <v>#DIV/0!</v>
      </c>
      <c r="EE198" s="68" t="e">
        <f t="shared" si="251"/>
        <v>#DIV/0!</v>
      </c>
      <c r="EF198" s="68" t="e">
        <f t="shared" si="252"/>
        <v>#DIV/0!</v>
      </c>
      <c r="EG198" s="68" t="e">
        <f t="shared" si="253"/>
        <v>#DIV/0!</v>
      </c>
      <c r="EH198" s="68" t="e">
        <f t="shared" si="269"/>
        <v>#DIV/0!</v>
      </c>
      <c r="EI198" s="68" t="e">
        <f t="shared" si="254"/>
        <v>#DIV/0!</v>
      </c>
      <c r="EJ198" s="68" t="e">
        <f t="shared" si="255"/>
        <v>#DIV/0!</v>
      </c>
      <c r="EK198" s="68" t="e">
        <f t="shared" si="256"/>
        <v>#DIV/0!</v>
      </c>
      <c r="EL198" s="68" t="e">
        <f t="shared" si="257"/>
        <v>#DIV/0!</v>
      </c>
      <c r="EM198" s="68" t="e">
        <f t="shared" si="258"/>
        <v>#DIV/0!</v>
      </c>
      <c r="EN198" s="68" t="e">
        <f t="shared" si="259"/>
        <v>#DIV/0!</v>
      </c>
      <c r="EO198" s="68" t="e">
        <f t="shared" si="260"/>
        <v>#DIV/0!</v>
      </c>
      <c r="EP198" s="68" t="e">
        <f t="shared" si="261"/>
        <v>#DIV/0!</v>
      </c>
      <c r="EQ198" s="68" t="e">
        <f t="shared" si="262"/>
        <v>#DIV/0!</v>
      </c>
      <c r="ER198" s="68" t="e">
        <f t="shared" si="270"/>
        <v>#DIV/0!</v>
      </c>
    </row>
    <row r="199" spans="82:148" x14ac:dyDescent="0.25">
      <c r="CD199" s="68" t="s">
        <v>722</v>
      </c>
      <c r="CE199" s="69">
        <f t="shared" si="263"/>
        <v>260330.3</v>
      </c>
      <c r="CF199" s="69">
        <f t="shared" si="264"/>
        <v>800803.59</v>
      </c>
      <c r="CG199" s="70">
        <f t="shared" si="271"/>
        <v>0</v>
      </c>
      <c r="CH199" s="69">
        <f t="shared" si="206"/>
        <v>260330.30001199999</v>
      </c>
      <c r="CI199" s="69">
        <f t="shared" si="207"/>
        <v>800803.59001599997</v>
      </c>
      <c r="CJ199" s="68">
        <f t="shared" si="208"/>
        <v>26.05841667</v>
      </c>
      <c r="CK199" s="68">
        <f t="shared" si="209"/>
        <v>80.134330559999995</v>
      </c>
      <c r="CL199" s="68">
        <f t="shared" si="210"/>
        <v>26.05841667</v>
      </c>
      <c r="CM199" s="68">
        <f t="shared" si="211"/>
        <v>80.134330559999995</v>
      </c>
      <c r="CN199" s="68">
        <f t="shared" si="212"/>
        <v>0</v>
      </c>
      <c r="CO199" s="68">
        <f t="shared" si="213"/>
        <v>0</v>
      </c>
      <c r="CP199" s="68">
        <f t="shared" si="214"/>
        <v>0.43928729614546391</v>
      </c>
      <c r="CQ199" s="68">
        <f t="shared" si="215"/>
        <v>1.0027157713556663</v>
      </c>
      <c r="CR199" s="68">
        <f t="shared" si="216"/>
        <v>0</v>
      </c>
      <c r="CS199" s="68">
        <f t="shared" si="217"/>
        <v>0.48899531699999998</v>
      </c>
      <c r="CT199" s="68">
        <f t="shared" si="265"/>
        <v>0.23911642</v>
      </c>
      <c r="CU199" s="68">
        <f t="shared" si="218"/>
        <v>0</v>
      </c>
      <c r="CV199" s="68">
        <f t="shared" si="219"/>
        <v>0</v>
      </c>
      <c r="CW199" s="68">
        <f t="shared" si="220"/>
        <v>0</v>
      </c>
      <c r="CX199" s="68">
        <f t="shared" si="221"/>
        <v>0</v>
      </c>
      <c r="CY199" s="68">
        <f t="shared" si="222"/>
        <v>0</v>
      </c>
      <c r="CZ199" s="68" t="e">
        <f t="shared" si="223"/>
        <v>#DIV/0!</v>
      </c>
      <c r="DA199" s="68" t="e">
        <f t="shared" si="224"/>
        <v>#DIV/0!</v>
      </c>
      <c r="DB199" s="68" t="e">
        <f t="shared" si="225"/>
        <v>#DIV/0!</v>
      </c>
      <c r="DC199" s="68" t="e">
        <f t="shared" si="226"/>
        <v>#DIV/0!</v>
      </c>
      <c r="DD199" s="68" t="e">
        <f t="shared" si="227"/>
        <v>#DIV/0!</v>
      </c>
      <c r="DE199" s="68" t="e">
        <f t="shared" si="228"/>
        <v>#DIV/0!</v>
      </c>
      <c r="DF199" s="68" t="e">
        <f t="shared" si="266"/>
        <v>#DIV/0!</v>
      </c>
      <c r="DG199" s="68">
        <f t="shared" si="229"/>
        <v>0.45480516874807669</v>
      </c>
      <c r="DH199" s="68">
        <f t="shared" si="230"/>
        <v>1.3986079121535113</v>
      </c>
      <c r="DI199" s="68">
        <f t="shared" si="231"/>
        <v>0</v>
      </c>
      <c r="DJ199" s="68" t="e">
        <f t="shared" si="232"/>
        <v>#DIV/0!</v>
      </c>
      <c r="DK199" s="68" t="e">
        <f t="shared" si="233"/>
        <v>#DIV/0!</v>
      </c>
      <c r="DL199" s="68" t="e">
        <f t="shared" si="234"/>
        <v>#DIV/0!</v>
      </c>
      <c r="DM199" s="68" t="e">
        <f t="shared" si="235"/>
        <v>#DIV/0!</v>
      </c>
      <c r="DN199" s="68" t="e">
        <f t="shared" si="236"/>
        <v>#DIV/0!</v>
      </c>
      <c r="DO199" s="68" t="e">
        <f t="shared" si="237"/>
        <v>#DIV/0!</v>
      </c>
      <c r="DP199" s="68" t="e">
        <f t="shared" si="238"/>
        <v>#DIV/0!</v>
      </c>
      <c r="DQ199" s="68" t="e">
        <f t="shared" si="239"/>
        <v>#DIV/0!</v>
      </c>
      <c r="DR199" s="68" t="e">
        <f t="shared" si="240"/>
        <v>#DIV/0!</v>
      </c>
      <c r="DS199" s="68" t="e">
        <f t="shared" si="241"/>
        <v>#DIV/0!</v>
      </c>
      <c r="DT199" s="68" t="e">
        <f t="shared" si="242"/>
        <v>#DIV/0!</v>
      </c>
      <c r="DU199" s="68" t="e">
        <f t="shared" si="267"/>
        <v>#DIV/0!</v>
      </c>
      <c r="DV199" s="68" t="e">
        <f t="shared" si="243"/>
        <v>#DIV/0!</v>
      </c>
      <c r="DW199" s="68" t="e">
        <f t="shared" si="268"/>
        <v>#DIV/0!</v>
      </c>
      <c r="DX199" s="68">
        <f t="shared" si="244"/>
        <v>26.05841667</v>
      </c>
      <c r="DY199" s="68">
        <f t="shared" si="245"/>
        <v>80.134330559999995</v>
      </c>
      <c r="DZ199" s="68" t="e">
        <f t="shared" si="246"/>
        <v>#DIV/0!</v>
      </c>
      <c r="EA199" s="68" t="e">
        <f t="shared" si="247"/>
        <v>#DIV/0!</v>
      </c>
      <c r="EB199" s="68" t="e">
        <f t="shared" si="248"/>
        <v>#DIV/0!</v>
      </c>
      <c r="EC199" s="68" t="e">
        <f t="shared" si="249"/>
        <v>#DIV/0!</v>
      </c>
      <c r="ED199" s="68" t="e">
        <f t="shared" si="250"/>
        <v>#DIV/0!</v>
      </c>
      <c r="EE199" s="68" t="e">
        <f t="shared" si="251"/>
        <v>#DIV/0!</v>
      </c>
      <c r="EF199" s="68" t="e">
        <f t="shared" si="252"/>
        <v>#DIV/0!</v>
      </c>
      <c r="EG199" s="68" t="e">
        <f t="shared" si="253"/>
        <v>#DIV/0!</v>
      </c>
      <c r="EH199" s="68" t="e">
        <f t="shared" si="269"/>
        <v>#DIV/0!</v>
      </c>
      <c r="EI199" s="68" t="e">
        <f t="shared" si="254"/>
        <v>#DIV/0!</v>
      </c>
      <c r="EJ199" s="68" t="e">
        <f t="shared" si="255"/>
        <v>#DIV/0!</v>
      </c>
      <c r="EK199" s="68" t="e">
        <f t="shared" si="256"/>
        <v>#DIV/0!</v>
      </c>
      <c r="EL199" s="68" t="e">
        <f t="shared" si="257"/>
        <v>#DIV/0!</v>
      </c>
      <c r="EM199" s="68" t="e">
        <f t="shared" si="258"/>
        <v>#DIV/0!</v>
      </c>
      <c r="EN199" s="68" t="e">
        <f t="shared" si="259"/>
        <v>#DIV/0!</v>
      </c>
      <c r="EO199" s="68" t="e">
        <f t="shared" si="260"/>
        <v>#DIV/0!</v>
      </c>
      <c r="EP199" s="68" t="e">
        <f t="shared" si="261"/>
        <v>#DIV/0!</v>
      </c>
      <c r="EQ199" s="68" t="e">
        <f t="shared" si="262"/>
        <v>#DIV/0!</v>
      </c>
      <c r="ER199" s="68" t="e">
        <f t="shared" si="270"/>
        <v>#DIV/0!</v>
      </c>
    </row>
    <row r="200" spans="82:148" x14ac:dyDescent="0.25">
      <c r="CD200" s="68" t="s">
        <v>723</v>
      </c>
      <c r="CE200" s="69">
        <f t="shared" si="263"/>
        <v>260330.3</v>
      </c>
      <c r="CF200" s="69">
        <f t="shared" si="264"/>
        <v>800803.59</v>
      </c>
      <c r="CG200" s="70">
        <f t="shared" si="271"/>
        <v>0</v>
      </c>
      <c r="CH200" s="69">
        <f t="shared" si="206"/>
        <v>260330.30001199999</v>
      </c>
      <c r="CI200" s="69">
        <f t="shared" si="207"/>
        <v>800803.59001599997</v>
      </c>
      <c r="CJ200" s="68">
        <f t="shared" si="208"/>
        <v>26.05841667</v>
      </c>
      <c r="CK200" s="68">
        <f t="shared" si="209"/>
        <v>80.134330559999995</v>
      </c>
      <c r="CL200" s="68">
        <f t="shared" si="210"/>
        <v>26.05841667</v>
      </c>
      <c r="CM200" s="68">
        <f t="shared" si="211"/>
        <v>80.134330559999995</v>
      </c>
      <c r="CN200" s="68">
        <f t="shared" si="212"/>
        <v>0</v>
      </c>
      <c r="CO200" s="68">
        <f t="shared" si="213"/>
        <v>0</v>
      </c>
      <c r="CP200" s="68">
        <f t="shared" si="214"/>
        <v>0.43928729614546391</v>
      </c>
      <c r="CQ200" s="68">
        <f t="shared" si="215"/>
        <v>1.0027157713556663</v>
      </c>
      <c r="CR200" s="68">
        <f t="shared" si="216"/>
        <v>0</v>
      </c>
      <c r="CS200" s="68">
        <f t="shared" si="217"/>
        <v>0.48899531699999998</v>
      </c>
      <c r="CT200" s="68">
        <f t="shared" si="265"/>
        <v>0.23911642</v>
      </c>
      <c r="CU200" s="68">
        <f t="shared" si="218"/>
        <v>0</v>
      </c>
      <c r="CV200" s="68">
        <f t="shared" si="219"/>
        <v>0</v>
      </c>
      <c r="CW200" s="68">
        <f t="shared" si="220"/>
        <v>0</v>
      </c>
      <c r="CX200" s="68">
        <f t="shared" si="221"/>
        <v>0</v>
      </c>
      <c r="CY200" s="68">
        <f t="shared" si="222"/>
        <v>0</v>
      </c>
      <c r="CZ200" s="68" t="e">
        <f t="shared" si="223"/>
        <v>#DIV/0!</v>
      </c>
      <c r="DA200" s="68" t="e">
        <f t="shared" si="224"/>
        <v>#DIV/0!</v>
      </c>
      <c r="DB200" s="68" t="e">
        <f t="shared" si="225"/>
        <v>#DIV/0!</v>
      </c>
      <c r="DC200" s="68" t="e">
        <f t="shared" si="226"/>
        <v>#DIV/0!</v>
      </c>
      <c r="DD200" s="68" t="e">
        <f t="shared" si="227"/>
        <v>#DIV/0!</v>
      </c>
      <c r="DE200" s="68" t="e">
        <f t="shared" si="228"/>
        <v>#DIV/0!</v>
      </c>
      <c r="DF200" s="68" t="e">
        <f t="shared" si="266"/>
        <v>#DIV/0!</v>
      </c>
      <c r="DG200" s="68">
        <f t="shared" si="229"/>
        <v>0.45480516874807669</v>
      </c>
      <c r="DH200" s="68">
        <f t="shared" si="230"/>
        <v>1.3986079121535113</v>
      </c>
      <c r="DI200" s="68">
        <f t="shared" si="231"/>
        <v>0</v>
      </c>
      <c r="DJ200" s="68" t="e">
        <f t="shared" si="232"/>
        <v>#DIV/0!</v>
      </c>
      <c r="DK200" s="68" t="e">
        <f t="shared" si="233"/>
        <v>#DIV/0!</v>
      </c>
      <c r="DL200" s="68" t="e">
        <f t="shared" si="234"/>
        <v>#DIV/0!</v>
      </c>
      <c r="DM200" s="68" t="e">
        <f t="shared" si="235"/>
        <v>#DIV/0!</v>
      </c>
      <c r="DN200" s="68" t="e">
        <f t="shared" si="236"/>
        <v>#DIV/0!</v>
      </c>
      <c r="DO200" s="68" t="e">
        <f t="shared" si="237"/>
        <v>#DIV/0!</v>
      </c>
      <c r="DP200" s="68" t="e">
        <f t="shared" si="238"/>
        <v>#DIV/0!</v>
      </c>
      <c r="DQ200" s="68" t="e">
        <f t="shared" si="239"/>
        <v>#DIV/0!</v>
      </c>
      <c r="DR200" s="68" t="e">
        <f t="shared" si="240"/>
        <v>#DIV/0!</v>
      </c>
      <c r="DS200" s="68" t="e">
        <f t="shared" si="241"/>
        <v>#DIV/0!</v>
      </c>
      <c r="DT200" s="68" t="e">
        <f t="shared" si="242"/>
        <v>#DIV/0!</v>
      </c>
      <c r="DU200" s="68" t="e">
        <f t="shared" si="267"/>
        <v>#DIV/0!</v>
      </c>
      <c r="DV200" s="68" t="e">
        <f t="shared" si="243"/>
        <v>#DIV/0!</v>
      </c>
      <c r="DW200" s="68" t="e">
        <f t="shared" si="268"/>
        <v>#DIV/0!</v>
      </c>
      <c r="DX200" s="68">
        <f t="shared" si="244"/>
        <v>26.05841667</v>
      </c>
      <c r="DY200" s="68">
        <f t="shared" si="245"/>
        <v>80.134330559999995</v>
      </c>
      <c r="DZ200" s="68" t="e">
        <f t="shared" si="246"/>
        <v>#DIV/0!</v>
      </c>
      <c r="EA200" s="68" t="e">
        <f t="shared" si="247"/>
        <v>#DIV/0!</v>
      </c>
      <c r="EB200" s="68" t="e">
        <f t="shared" si="248"/>
        <v>#DIV/0!</v>
      </c>
      <c r="EC200" s="68" t="e">
        <f t="shared" si="249"/>
        <v>#DIV/0!</v>
      </c>
      <c r="ED200" s="68" t="e">
        <f t="shared" si="250"/>
        <v>#DIV/0!</v>
      </c>
      <c r="EE200" s="68" t="e">
        <f t="shared" si="251"/>
        <v>#DIV/0!</v>
      </c>
      <c r="EF200" s="68" t="e">
        <f t="shared" si="252"/>
        <v>#DIV/0!</v>
      </c>
      <c r="EG200" s="68" t="e">
        <f t="shared" si="253"/>
        <v>#DIV/0!</v>
      </c>
      <c r="EH200" s="68" t="e">
        <f t="shared" si="269"/>
        <v>#DIV/0!</v>
      </c>
      <c r="EI200" s="68" t="e">
        <f t="shared" si="254"/>
        <v>#DIV/0!</v>
      </c>
      <c r="EJ200" s="68" t="e">
        <f t="shared" si="255"/>
        <v>#DIV/0!</v>
      </c>
      <c r="EK200" s="68" t="e">
        <f t="shared" si="256"/>
        <v>#DIV/0!</v>
      </c>
      <c r="EL200" s="68" t="e">
        <f t="shared" si="257"/>
        <v>#DIV/0!</v>
      </c>
      <c r="EM200" s="68" t="e">
        <f t="shared" si="258"/>
        <v>#DIV/0!</v>
      </c>
      <c r="EN200" s="68" t="e">
        <f t="shared" si="259"/>
        <v>#DIV/0!</v>
      </c>
      <c r="EO200" s="68" t="e">
        <f t="shared" si="260"/>
        <v>#DIV/0!</v>
      </c>
      <c r="EP200" s="68" t="e">
        <f t="shared" si="261"/>
        <v>#DIV/0!</v>
      </c>
      <c r="EQ200" s="68" t="e">
        <f t="shared" si="262"/>
        <v>#DIV/0!</v>
      </c>
      <c r="ER200" s="68" t="e">
        <f t="shared" si="270"/>
        <v>#DIV/0!</v>
      </c>
    </row>
    <row r="201" spans="82:148" x14ac:dyDescent="0.25">
      <c r="CD201" s="68" t="s">
        <v>724</v>
      </c>
      <c r="CE201" s="69">
        <f t="shared" si="263"/>
        <v>260330.3</v>
      </c>
      <c r="CF201" s="69">
        <f t="shared" si="264"/>
        <v>800803.59</v>
      </c>
      <c r="CG201" s="70">
        <f t="shared" si="271"/>
        <v>0</v>
      </c>
      <c r="CH201" s="69">
        <f t="shared" si="206"/>
        <v>260330.30001199999</v>
      </c>
      <c r="CI201" s="69">
        <f t="shared" si="207"/>
        <v>800803.59001599997</v>
      </c>
      <c r="CJ201" s="68">
        <f t="shared" si="208"/>
        <v>26.05841667</v>
      </c>
      <c r="CK201" s="68">
        <f t="shared" si="209"/>
        <v>80.134330559999995</v>
      </c>
      <c r="CL201" s="68">
        <f t="shared" si="210"/>
        <v>26.05841667</v>
      </c>
      <c r="CM201" s="68">
        <f t="shared" si="211"/>
        <v>80.134330559999995</v>
      </c>
      <c r="CN201" s="68">
        <f t="shared" si="212"/>
        <v>0</v>
      </c>
      <c r="CO201" s="68">
        <f t="shared" si="213"/>
        <v>0</v>
      </c>
      <c r="CP201" s="68">
        <f t="shared" si="214"/>
        <v>0.43928729614546391</v>
      </c>
      <c r="CQ201" s="68">
        <f t="shared" si="215"/>
        <v>1.0027157713556663</v>
      </c>
      <c r="CR201" s="68">
        <f t="shared" si="216"/>
        <v>0</v>
      </c>
      <c r="CS201" s="68">
        <f t="shared" si="217"/>
        <v>0.48899531699999998</v>
      </c>
      <c r="CT201" s="68">
        <f t="shared" si="265"/>
        <v>0.23911642</v>
      </c>
      <c r="CU201" s="68">
        <f t="shared" si="218"/>
        <v>0</v>
      </c>
      <c r="CV201" s="68">
        <f t="shared" si="219"/>
        <v>0</v>
      </c>
      <c r="CW201" s="68">
        <f t="shared" si="220"/>
        <v>0</v>
      </c>
      <c r="CX201" s="68">
        <f t="shared" si="221"/>
        <v>0</v>
      </c>
      <c r="CY201" s="68">
        <f t="shared" si="222"/>
        <v>0</v>
      </c>
      <c r="CZ201" s="68" t="e">
        <f t="shared" si="223"/>
        <v>#DIV/0!</v>
      </c>
      <c r="DA201" s="68" t="e">
        <f t="shared" si="224"/>
        <v>#DIV/0!</v>
      </c>
      <c r="DB201" s="68" t="e">
        <f t="shared" si="225"/>
        <v>#DIV/0!</v>
      </c>
      <c r="DC201" s="68" t="e">
        <f t="shared" si="226"/>
        <v>#DIV/0!</v>
      </c>
      <c r="DD201" s="68" t="e">
        <f t="shared" si="227"/>
        <v>#DIV/0!</v>
      </c>
      <c r="DE201" s="68" t="e">
        <f t="shared" si="228"/>
        <v>#DIV/0!</v>
      </c>
      <c r="DF201" s="68" t="e">
        <f t="shared" si="266"/>
        <v>#DIV/0!</v>
      </c>
      <c r="DG201" s="68">
        <f t="shared" si="229"/>
        <v>0.45480516874807669</v>
      </c>
      <c r="DH201" s="68">
        <f t="shared" si="230"/>
        <v>1.3986079121535113</v>
      </c>
      <c r="DI201" s="68">
        <f t="shared" si="231"/>
        <v>0</v>
      </c>
      <c r="DJ201" s="68" t="e">
        <f t="shared" si="232"/>
        <v>#DIV/0!</v>
      </c>
      <c r="DK201" s="68" t="e">
        <f t="shared" si="233"/>
        <v>#DIV/0!</v>
      </c>
      <c r="DL201" s="68" t="e">
        <f t="shared" si="234"/>
        <v>#DIV/0!</v>
      </c>
      <c r="DM201" s="68" t="e">
        <f t="shared" si="235"/>
        <v>#DIV/0!</v>
      </c>
      <c r="DN201" s="68" t="e">
        <f t="shared" si="236"/>
        <v>#DIV/0!</v>
      </c>
      <c r="DO201" s="68" t="e">
        <f t="shared" si="237"/>
        <v>#DIV/0!</v>
      </c>
      <c r="DP201" s="68" t="e">
        <f t="shared" si="238"/>
        <v>#DIV/0!</v>
      </c>
      <c r="DQ201" s="68" t="e">
        <f t="shared" si="239"/>
        <v>#DIV/0!</v>
      </c>
      <c r="DR201" s="68" t="e">
        <f t="shared" si="240"/>
        <v>#DIV/0!</v>
      </c>
      <c r="DS201" s="68" t="e">
        <f t="shared" si="241"/>
        <v>#DIV/0!</v>
      </c>
      <c r="DT201" s="68" t="e">
        <f t="shared" si="242"/>
        <v>#DIV/0!</v>
      </c>
      <c r="DU201" s="68" t="e">
        <f t="shared" si="267"/>
        <v>#DIV/0!</v>
      </c>
      <c r="DV201" s="68" t="e">
        <f t="shared" si="243"/>
        <v>#DIV/0!</v>
      </c>
      <c r="DW201" s="68" t="e">
        <f t="shared" si="268"/>
        <v>#DIV/0!</v>
      </c>
      <c r="DX201" s="68">
        <f t="shared" si="244"/>
        <v>26.05841667</v>
      </c>
      <c r="DY201" s="68">
        <f t="shared" si="245"/>
        <v>80.134330559999995</v>
      </c>
      <c r="DZ201" s="68" t="e">
        <f t="shared" si="246"/>
        <v>#DIV/0!</v>
      </c>
      <c r="EA201" s="68" t="e">
        <f t="shared" si="247"/>
        <v>#DIV/0!</v>
      </c>
      <c r="EB201" s="68" t="e">
        <f t="shared" si="248"/>
        <v>#DIV/0!</v>
      </c>
      <c r="EC201" s="68" t="e">
        <f t="shared" si="249"/>
        <v>#DIV/0!</v>
      </c>
      <c r="ED201" s="68" t="e">
        <f t="shared" si="250"/>
        <v>#DIV/0!</v>
      </c>
      <c r="EE201" s="68" t="e">
        <f t="shared" si="251"/>
        <v>#DIV/0!</v>
      </c>
      <c r="EF201" s="68" t="e">
        <f t="shared" si="252"/>
        <v>#DIV/0!</v>
      </c>
      <c r="EG201" s="68" t="e">
        <f t="shared" si="253"/>
        <v>#DIV/0!</v>
      </c>
      <c r="EH201" s="68" t="e">
        <f t="shared" si="269"/>
        <v>#DIV/0!</v>
      </c>
      <c r="EI201" s="68" t="e">
        <f t="shared" si="254"/>
        <v>#DIV/0!</v>
      </c>
      <c r="EJ201" s="68" t="e">
        <f t="shared" si="255"/>
        <v>#DIV/0!</v>
      </c>
      <c r="EK201" s="68" t="e">
        <f t="shared" si="256"/>
        <v>#DIV/0!</v>
      </c>
      <c r="EL201" s="68" t="e">
        <f t="shared" si="257"/>
        <v>#DIV/0!</v>
      </c>
      <c r="EM201" s="68" t="e">
        <f t="shared" si="258"/>
        <v>#DIV/0!</v>
      </c>
      <c r="EN201" s="68" t="e">
        <f t="shared" si="259"/>
        <v>#DIV/0!</v>
      </c>
      <c r="EO201" s="68" t="e">
        <f t="shared" si="260"/>
        <v>#DIV/0!</v>
      </c>
      <c r="EP201" s="68" t="e">
        <f t="shared" si="261"/>
        <v>#DIV/0!</v>
      </c>
      <c r="EQ201" s="68" t="e">
        <f t="shared" si="262"/>
        <v>#DIV/0!</v>
      </c>
      <c r="ER201" s="68" t="e">
        <f t="shared" si="270"/>
        <v>#DIV/0!</v>
      </c>
    </row>
    <row r="202" spans="82:148" x14ac:dyDescent="0.25">
      <c r="CD202" s="68" t="s">
        <v>725</v>
      </c>
      <c r="CE202" s="69">
        <f t="shared" si="263"/>
        <v>260330.3</v>
      </c>
      <c r="CF202" s="69">
        <f t="shared" si="264"/>
        <v>800803.59</v>
      </c>
      <c r="CG202" s="70">
        <f t="shared" si="271"/>
        <v>0</v>
      </c>
      <c r="CH202" s="69">
        <f t="shared" si="206"/>
        <v>260330.30001199999</v>
      </c>
      <c r="CI202" s="69">
        <f t="shared" si="207"/>
        <v>800803.59001599997</v>
      </c>
      <c r="CJ202" s="68">
        <f t="shared" si="208"/>
        <v>26.05841667</v>
      </c>
      <c r="CK202" s="68">
        <f t="shared" si="209"/>
        <v>80.134330559999995</v>
      </c>
      <c r="CL202" s="68">
        <f t="shared" si="210"/>
        <v>26.05841667</v>
      </c>
      <c r="CM202" s="68">
        <f t="shared" si="211"/>
        <v>80.134330559999995</v>
      </c>
      <c r="CN202" s="68">
        <f t="shared" si="212"/>
        <v>0</v>
      </c>
      <c r="CO202" s="68">
        <f t="shared" si="213"/>
        <v>0</v>
      </c>
      <c r="CP202" s="68">
        <f t="shared" si="214"/>
        <v>0.43928729614546391</v>
      </c>
      <c r="CQ202" s="68">
        <f t="shared" si="215"/>
        <v>1.0027157713556663</v>
      </c>
      <c r="CR202" s="68">
        <f t="shared" si="216"/>
        <v>0</v>
      </c>
      <c r="CS202" s="68">
        <f t="shared" si="217"/>
        <v>0.48899531699999998</v>
      </c>
      <c r="CT202" s="68">
        <f t="shared" si="265"/>
        <v>0.23911642</v>
      </c>
      <c r="CU202" s="68">
        <f t="shared" si="218"/>
        <v>0</v>
      </c>
      <c r="CV202" s="68">
        <f t="shared" si="219"/>
        <v>0</v>
      </c>
      <c r="CW202" s="68">
        <f t="shared" si="220"/>
        <v>0</v>
      </c>
      <c r="CX202" s="68">
        <f t="shared" si="221"/>
        <v>0</v>
      </c>
      <c r="CY202" s="68">
        <f t="shared" si="222"/>
        <v>0</v>
      </c>
      <c r="CZ202" s="68" t="e">
        <f t="shared" si="223"/>
        <v>#DIV/0!</v>
      </c>
      <c r="DA202" s="68" t="e">
        <f t="shared" si="224"/>
        <v>#DIV/0!</v>
      </c>
      <c r="DB202" s="68" t="e">
        <f t="shared" si="225"/>
        <v>#DIV/0!</v>
      </c>
      <c r="DC202" s="68" t="e">
        <f t="shared" si="226"/>
        <v>#DIV/0!</v>
      </c>
      <c r="DD202" s="68" t="e">
        <f t="shared" si="227"/>
        <v>#DIV/0!</v>
      </c>
      <c r="DE202" s="68" t="e">
        <f t="shared" si="228"/>
        <v>#DIV/0!</v>
      </c>
      <c r="DF202" s="68" t="e">
        <f t="shared" si="266"/>
        <v>#DIV/0!</v>
      </c>
      <c r="DG202" s="68">
        <f t="shared" si="229"/>
        <v>0.45480516874807669</v>
      </c>
      <c r="DH202" s="68">
        <f t="shared" si="230"/>
        <v>1.3986079121535113</v>
      </c>
      <c r="DI202" s="68">
        <f t="shared" si="231"/>
        <v>0</v>
      </c>
      <c r="DJ202" s="68" t="e">
        <f t="shared" si="232"/>
        <v>#DIV/0!</v>
      </c>
      <c r="DK202" s="68" t="e">
        <f t="shared" si="233"/>
        <v>#DIV/0!</v>
      </c>
      <c r="DL202" s="68" t="e">
        <f t="shared" si="234"/>
        <v>#DIV/0!</v>
      </c>
      <c r="DM202" s="68" t="e">
        <f t="shared" si="235"/>
        <v>#DIV/0!</v>
      </c>
      <c r="DN202" s="68" t="e">
        <f t="shared" si="236"/>
        <v>#DIV/0!</v>
      </c>
      <c r="DO202" s="68" t="e">
        <f t="shared" si="237"/>
        <v>#DIV/0!</v>
      </c>
      <c r="DP202" s="68" t="e">
        <f t="shared" si="238"/>
        <v>#DIV/0!</v>
      </c>
      <c r="DQ202" s="68" t="e">
        <f t="shared" si="239"/>
        <v>#DIV/0!</v>
      </c>
      <c r="DR202" s="68" t="e">
        <f t="shared" si="240"/>
        <v>#DIV/0!</v>
      </c>
      <c r="DS202" s="68" t="e">
        <f t="shared" si="241"/>
        <v>#DIV/0!</v>
      </c>
      <c r="DT202" s="68" t="e">
        <f t="shared" si="242"/>
        <v>#DIV/0!</v>
      </c>
      <c r="DU202" s="68" t="e">
        <f t="shared" si="267"/>
        <v>#DIV/0!</v>
      </c>
      <c r="DV202" s="68" t="e">
        <f t="shared" si="243"/>
        <v>#DIV/0!</v>
      </c>
      <c r="DW202" s="68" t="e">
        <f t="shared" si="268"/>
        <v>#DIV/0!</v>
      </c>
      <c r="DX202" s="68">
        <f t="shared" si="244"/>
        <v>26.05841667</v>
      </c>
      <c r="DY202" s="68">
        <f t="shared" si="245"/>
        <v>80.134330559999995</v>
      </c>
      <c r="DZ202" s="68" t="e">
        <f t="shared" si="246"/>
        <v>#DIV/0!</v>
      </c>
      <c r="EA202" s="68" t="e">
        <f t="shared" si="247"/>
        <v>#DIV/0!</v>
      </c>
      <c r="EB202" s="68" t="e">
        <f t="shared" si="248"/>
        <v>#DIV/0!</v>
      </c>
      <c r="EC202" s="68" t="e">
        <f t="shared" si="249"/>
        <v>#DIV/0!</v>
      </c>
      <c r="ED202" s="68" t="e">
        <f t="shared" si="250"/>
        <v>#DIV/0!</v>
      </c>
      <c r="EE202" s="68" t="e">
        <f t="shared" si="251"/>
        <v>#DIV/0!</v>
      </c>
      <c r="EF202" s="68" t="e">
        <f t="shared" si="252"/>
        <v>#DIV/0!</v>
      </c>
      <c r="EG202" s="68" t="e">
        <f t="shared" si="253"/>
        <v>#DIV/0!</v>
      </c>
      <c r="EH202" s="68" t="e">
        <f t="shared" si="269"/>
        <v>#DIV/0!</v>
      </c>
      <c r="EI202" s="68" t="e">
        <f t="shared" si="254"/>
        <v>#DIV/0!</v>
      </c>
      <c r="EJ202" s="68" t="e">
        <f t="shared" si="255"/>
        <v>#DIV/0!</v>
      </c>
      <c r="EK202" s="68" t="e">
        <f t="shared" si="256"/>
        <v>#DIV/0!</v>
      </c>
      <c r="EL202" s="68" t="e">
        <f t="shared" si="257"/>
        <v>#DIV/0!</v>
      </c>
      <c r="EM202" s="68" t="e">
        <f t="shared" si="258"/>
        <v>#DIV/0!</v>
      </c>
      <c r="EN202" s="68" t="e">
        <f t="shared" si="259"/>
        <v>#DIV/0!</v>
      </c>
      <c r="EO202" s="68" t="e">
        <f t="shared" si="260"/>
        <v>#DIV/0!</v>
      </c>
      <c r="EP202" s="68" t="e">
        <f t="shared" si="261"/>
        <v>#DIV/0!</v>
      </c>
      <c r="EQ202" s="68" t="e">
        <f t="shared" si="262"/>
        <v>#DIV/0!</v>
      </c>
      <c r="ER202" s="68" t="e">
        <f t="shared" si="270"/>
        <v>#DIV/0!</v>
      </c>
    </row>
    <row r="203" spans="82:148" x14ac:dyDescent="0.25">
      <c r="CD203" s="68" t="s">
        <v>726</v>
      </c>
      <c r="CE203" s="69">
        <f t="shared" si="263"/>
        <v>260330.3</v>
      </c>
      <c r="CF203" s="69">
        <f t="shared" si="264"/>
        <v>800803.59</v>
      </c>
      <c r="CG203" s="70">
        <f t="shared" si="271"/>
        <v>0</v>
      </c>
      <c r="CH203" s="69">
        <f t="shared" si="206"/>
        <v>260330.30001199999</v>
      </c>
      <c r="CI203" s="69">
        <f t="shared" si="207"/>
        <v>800803.59001599997</v>
      </c>
      <c r="CJ203" s="68">
        <f t="shared" si="208"/>
        <v>26.05841667</v>
      </c>
      <c r="CK203" s="68">
        <f t="shared" si="209"/>
        <v>80.134330559999995</v>
      </c>
      <c r="CL203" s="68">
        <f t="shared" si="210"/>
        <v>26.05841667</v>
      </c>
      <c r="CM203" s="68">
        <f t="shared" si="211"/>
        <v>80.134330559999995</v>
      </c>
      <c r="CN203" s="68">
        <f t="shared" si="212"/>
        <v>0</v>
      </c>
      <c r="CO203" s="68">
        <f t="shared" si="213"/>
        <v>0</v>
      </c>
      <c r="CP203" s="68">
        <f t="shared" si="214"/>
        <v>0.43928729614546391</v>
      </c>
      <c r="CQ203" s="68">
        <f t="shared" si="215"/>
        <v>1.0027157713556663</v>
      </c>
      <c r="CR203" s="68">
        <f t="shared" si="216"/>
        <v>0</v>
      </c>
      <c r="CS203" s="68">
        <f t="shared" si="217"/>
        <v>0.48899531699999998</v>
      </c>
      <c r="CT203" s="68">
        <f t="shared" si="265"/>
        <v>0.23911642</v>
      </c>
      <c r="CU203" s="68">
        <f t="shared" si="218"/>
        <v>0</v>
      </c>
      <c r="CV203" s="68">
        <f t="shared" si="219"/>
        <v>0</v>
      </c>
      <c r="CW203" s="68">
        <f t="shared" si="220"/>
        <v>0</v>
      </c>
      <c r="CX203" s="68">
        <f t="shared" si="221"/>
        <v>0</v>
      </c>
      <c r="CY203" s="68">
        <f t="shared" si="222"/>
        <v>0</v>
      </c>
      <c r="CZ203" s="68" t="e">
        <f t="shared" si="223"/>
        <v>#DIV/0!</v>
      </c>
      <c r="DA203" s="68" t="e">
        <f t="shared" si="224"/>
        <v>#DIV/0!</v>
      </c>
      <c r="DB203" s="68" t="e">
        <f t="shared" si="225"/>
        <v>#DIV/0!</v>
      </c>
      <c r="DC203" s="68" t="e">
        <f t="shared" si="226"/>
        <v>#DIV/0!</v>
      </c>
      <c r="DD203" s="68" t="e">
        <f t="shared" si="227"/>
        <v>#DIV/0!</v>
      </c>
      <c r="DE203" s="68" t="e">
        <f t="shared" si="228"/>
        <v>#DIV/0!</v>
      </c>
      <c r="DF203" s="68" t="e">
        <f t="shared" si="266"/>
        <v>#DIV/0!</v>
      </c>
      <c r="DG203" s="68">
        <f t="shared" si="229"/>
        <v>0.45480516874807669</v>
      </c>
      <c r="DH203" s="68">
        <f t="shared" si="230"/>
        <v>1.3986079121535113</v>
      </c>
      <c r="DI203" s="68">
        <f t="shared" si="231"/>
        <v>0</v>
      </c>
      <c r="DJ203" s="68" t="e">
        <f t="shared" si="232"/>
        <v>#DIV/0!</v>
      </c>
      <c r="DK203" s="68" t="e">
        <f t="shared" si="233"/>
        <v>#DIV/0!</v>
      </c>
      <c r="DL203" s="68" t="e">
        <f t="shared" si="234"/>
        <v>#DIV/0!</v>
      </c>
      <c r="DM203" s="68" t="e">
        <f t="shared" si="235"/>
        <v>#DIV/0!</v>
      </c>
      <c r="DN203" s="68" t="e">
        <f t="shared" si="236"/>
        <v>#DIV/0!</v>
      </c>
      <c r="DO203" s="68" t="e">
        <f t="shared" si="237"/>
        <v>#DIV/0!</v>
      </c>
      <c r="DP203" s="68" t="e">
        <f t="shared" si="238"/>
        <v>#DIV/0!</v>
      </c>
      <c r="DQ203" s="68" t="e">
        <f t="shared" si="239"/>
        <v>#DIV/0!</v>
      </c>
      <c r="DR203" s="68" t="e">
        <f t="shared" si="240"/>
        <v>#DIV/0!</v>
      </c>
      <c r="DS203" s="68" t="e">
        <f t="shared" si="241"/>
        <v>#DIV/0!</v>
      </c>
      <c r="DT203" s="68" t="e">
        <f t="shared" si="242"/>
        <v>#DIV/0!</v>
      </c>
      <c r="DU203" s="68" t="e">
        <f t="shared" si="267"/>
        <v>#DIV/0!</v>
      </c>
      <c r="DV203" s="68" t="e">
        <f t="shared" si="243"/>
        <v>#DIV/0!</v>
      </c>
      <c r="DW203" s="68" t="e">
        <f t="shared" si="268"/>
        <v>#DIV/0!</v>
      </c>
      <c r="DX203" s="68">
        <f t="shared" si="244"/>
        <v>26.05841667</v>
      </c>
      <c r="DY203" s="68">
        <f t="shared" si="245"/>
        <v>80.134330559999995</v>
      </c>
      <c r="DZ203" s="68" t="e">
        <f t="shared" si="246"/>
        <v>#DIV/0!</v>
      </c>
      <c r="EA203" s="68" t="e">
        <f t="shared" si="247"/>
        <v>#DIV/0!</v>
      </c>
      <c r="EB203" s="68" t="e">
        <f t="shared" si="248"/>
        <v>#DIV/0!</v>
      </c>
      <c r="EC203" s="68" t="e">
        <f t="shared" si="249"/>
        <v>#DIV/0!</v>
      </c>
      <c r="ED203" s="68" t="e">
        <f t="shared" si="250"/>
        <v>#DIV/0!</v>
      </c>
      <c r="EE203" s="68" t="e">
        <f t="shared" si="251"/>
        <v>#DIV/0!</v>
      </c>
      <c r="EF203" s="68" t="e">
        <f t="shared" si="252"/>
        <v>#DIV/0!</v>
      </c>
      <c r="EG203" s="68" t="e">
        <f t="shared" si="253"/>
        <v>#DIV/0!</v>
      </c>
      <c r="EH203" s="68" t="e">
        <f t="shared" si="269"/>
        <v>#DIV/0!</v>
      </c>
      <c r="EI203" s="68" t="e">
        <f t="shared" si="254"/>
        <v>#DIV/0!</v>
      </c>
      <c r="EJ203" s="68" t="e">
        <f t="shared" si="255"/>
        <v>#DIV/0!</v>
      </c>
      <c r="EK203" s="68" t="e">
        <f t="shared" si="256"/>
        <v>#DIV/0!</v>
      </c>
      <c r="EL203" s="68" t="e">
        <f t="shared" si="257"/>
        <v>#DIV/0!</v>
      </c>
      <c r="EM203" s="68" t="e">
        <f t="shared" si="258"/>
        <v>#DIV/0!</v>
      </c>
      <c r="EN203" s="68" t="e">
        <f t="shared" si="259"/>
        <v>#DIV/0!</v>
      </c>
      <c r="EO203" s="68" t="e">
        <f t="shared" si="260"/>
        <v>#DIV/0!</v>
      </c>
      <c r="EP203" s="68" t="e">
        <f t="shared" si="261"/>
        <v>#DIV/0!</v>
      </c>
      <c r="EQ203" s="68" t="e">
        <f t="shared" si="262"/>
        <v>#DIV/0!</v>
      </c>
      <c r="ER203" s="68" t="e">
        <f t="shared" si="270"/>
        <v>#DIV/0!</v>
      </c>
    </row>
    <row r="204" spans="82:148" x14ac:dyDescent="0.25">
      <c r="CD204" s="68" t="s">
        <v>727</v>
      </c>
      <c r="CE204" s="69">
        <f t="shared" si="263"/>
        <v>260330.3</v>
      </c>
      <c r="CF204" s="69">
        <f t="shared" si="264"/>
        <v>800803.59</v>
      </c>
      <c r="CG204" s="70">
        <f t="shared" si="271"/>
        <v>0</v>
      </c>
      <c r="CH204" s="69">
        <f t="shared" si="206"/>
        <v>260330.30001199999</v>
      </c>
      <c r="CI204" s="69">
        <f t="shared" si="207"/>
        <v>800803.59001599997</v>
      </c>
      <c r="CJ204" s="68">
        <f t="shared" si="208"/>
        <v>26.05841667</v>
      </c>
      <c r="CK204" s="68">
        <f t="shared" si="209"/>
        <v>80.134330559999995</v>
      </c>
      <c r="CL204" s="68">
        <f t="shared" si="210"/>
        <v>26.05841667</v>
      </c>
      <c r="CM204" s="68">
        <f t="shared" si="211"/>
        <v>80.134330559999995</v>
      </c>
      <c r="CN204" s="68">
        <f t="shared" si="212"/>
        <v>0</v>
      </c>
      <c r="CO204" s="68">
        <f t="shared" si="213"/>
        <v>0</v>
      </c>
      <c r="CP204" s="68">
        <f t="shared" si="214"/>
        <v>0.43928729614546391</v>
      </c>
      <c r="CQ204" s="68">
        <f t="shared" si="215"/>
        <v>1.0027157713556663</v>
      </c>
      <c r="CR204" s="68">
        <f t="shared" si="216"/>
        <v>0</v>
      </c>
      <c r="CS204" s="68">
        <f t="shared" si="217"/>
        <v>0.48899531699999998</v>
      </c>
      <c r="CT204" s="68">
        <f t="shared" si="265"/>
        <v>0.23911642</v>
      </c>
      <c r="CU204" s="68">
        <f t="shared" si="218"/>
        <v>0</v>
      </c>
      <c r="CV204" s="68">
        <f t="shared" si="219"/>
        <v>0</v>
      </c>
      <c r="CW204" s="68">
        <f t="shared" si="220"/>
        <v>0</v>
      </c>
      <c r="CX204" s="68">
        <f t="shared" si="221"/>
        <v>0</v>
      </c>
      <c r="CY204" s="68">
        <f t="shared" si="222"/>
        <v>0</v>
      </c>
      <c r="CZ204" s="68" t="e">
        <f t="shared" si="223"/>
        <v>#DIV/0!</v>
      </c>
      <c r="DA204" s="68" t="e">
        <f t="shared" si="224"/>
        <v>#DIV/0!</v>
      </c>
      <c r="DB204" s="68" t="e">
        <f t="shared" si="225"/>
        <v>#DIV/0!</v>
      </c>
      <c r="DC204" s="68" t="e">
        <f t="shared" si="226"/>
        <v>#DIV/0!</v>
      </c>
      <c r="DD204" s="68" t="e">
        <f t="shared" si="227"/>
        <v>#DIV/0!</v>
      </c>
      <c r="DE204" s="68" t="e">
        <f t="shared" si="228"/>
        <v>#DIV/0!</v>
      </c>
      <c r="DF204" s="68" t="e">
        <f t="shared" si="266"/>
        <v>#DIV/0!</v>
      </c>
      <c r="DG204" s="68">
        <f t="shared" si="229"/>
        <v>0.45480516874807669</v>
      </c>
      <c r="DH204" s="68">
        <f t="shared" si="230"/>
        <v>1.3986079121535113</v>
      </c>
      <c r="DI204" s="68">
        <f t="shared" si="231"/>
        <v>0</v>
      </c>
      <c r="DJ204" s="68" t="e">
        <f t="shared" si="232"/>
        <v>#DIV/0!</v>
      </c>
      <c r="DK204" s="68" t="e">
        <f t="shared" si="233"/>
        <v>#DIV/0!</v>
      </c>
      <c r="DL204" s="68" t="e">
        <f t="shared" si="234"/>
        <v>#DIV/0!</v>
      </c>
      <c r="DM204" s="68" t="e">
        <f t="shared" si="235"/>
        <v>#DIV/0!</v>
      </c>
      <c r="DN204" s="68" t="e">
        <f t="shared" si="236"/>
        <v>#DIV/0!</v>
      </c>
      <c r="DO204" s="68" t="e">
        <f t="shared" si="237"/>
        <v>#DIV/0!</v>
      </c>
      <c r="DP204" s="68" t="e">
        <f t="shared" si="238"/>
        <v>#DIV/0!</v>
      </c>
      <c r="DQ204" s="68" t="e">
        <f t="shared" si="239"/>
        <v>#DIV/0!</v>
      </c>
      <c r="DR204" s="68" t="e">
        <f t="shared" si="240"/>
        <v>#DIV/0!</v>
      </c>
      <c r="DS204" s="68" t="e">
        <f t="shared" si="241"/>
        <v>#DIV/0!</v>
      </c>
      <c r="DT204" s="68" t="e">
        <f t="shared" si="242"/>
        <v>#DIV/0!</v>
      </c>
      <c r="DU204" s="68" t="e">
        <f t="shared" si="267"/>
        <v>#DIV/0!</v>
      </c>
      <c r="DV204" s="68" t="e">
        <f t="shared" si="243"/>
        <v>#DIV/0!</v>
      </c>
      <c r="DW204" s="68" t="e">
        <f t="shared" si="268"/>
        <v>#DIV/0!</v>
      </c>
      <c r="DX204" s="68">
        <f t="shared" si="244"/>
        <v>26.05841667</v>
      </c>
      <c r="DY204" s="68">
        <f t="shared" si="245"/>
        <v>80.134330559999995</v>
      </c>
      <c r="DZ204" s="68" t="e">
        <f t="shared" si="246"/>
        <v>#DIV/0!</v>
      </c>
      <c r="EA204" s="68" t="e">
        <f t="shared" si="247"/>
        <v>#DIV/0!</v>
      </c>
      <c r="EB204" s="68" t="e">
        <f t="shared" si="248"/>
        <v>#DIV/0!</v>
      </c>
      <c r="EC204" s="68" t="e">
        <f t="shared" si="249"/>
        <v>#DIV/0!</v>
      </c>
      <c r="ED204" s="68" t="e">
        <f t="shared" si="250"/>
        <v>#DIV/0!</v>
      </c>
      <c r="EE204" s="68" t="e">
        <f t="shared" si="251"/>
        <v>#DIV/0!</v>
      </c>
      <c r="EF204" s="68" t="e">
        <f t="shared" si="252"/>
        <v>#DIV/0!</v>
      </c>
      <c r="EG204" s="68" t="e">
        <f t="shared" si="253"/>
        <v>#DIV/0!</v>
      </c>
      <c r="EH204" s="68" t="e">
        <f t="shared" si="269"/>
        <v>#DIV/0!</v>
      </c>
      <c r="EI204" s="68" t="e">
        <f t="shared" si="254"/>
        <v>#DIV/0!</v>
      </c>
      <c r="EJ204" s="68" t="e">
        <f t="shared" si="255"/>
        <v>#DIV/0!</v>
      </c>
      <c r="EK204" s="68" t="e">
        <f t="shared" si="256"/>
        <v>#DIV/0!</v>
      </c>
      <c r="EL204" s="68" t="e">
        <f t="shared" si="257"/>
        <v>#DIV/0!</v>
      </c>
      <c r="EM204" s="68" t="e">
        <f t="shared" si="258"/>
        <v>#DIV/0!</v>
      </c>
      <c r="EN204" s="68" t="e">
        <f t="shared" si="259"/>
        <v>#DIV/0!</v>
      </c>
      <c r="EO204" s="68" t="e">
        <f t="shared" si="260"/>
        <v>#DIV/0!</v>
      </c>
      <c r="EP204" s="68" t="e">
        <f t="shared" si="261"/>
        <v>#DIV/0!</v>
      </c>
      <c r="EQ204" s="68" t="e">
        <f t="shared" si="262"/>
        <v>#DIV/0!</v>
      </c>
      <c r="ER204" s="68" t="e">
        <f t="shared" si="270"/>
        <v>#DIV/0!</v>
      </c>
    </row>
    <row r="205" spans="82:148" x14ac:dyDescent="0.25">
      <c r="CD205" s="68" t="s">
        <v>728</v>
      </c>
      <c r="CE205" s="69">
        <f t="shared" si="263"/>
        <v>260330.3</v>
      </c>
      <c r="CF205" s="69">
        <f t="shared" si="264"/>
        <v>800803.59</v>
      </c>
      <c r="CG205" s="70">
        <f t="shared" si="271"/>
        <v>0</v>
      </c>
      <c r="CH205" s="69">
        <f t="shared" si="206"/>
        <v>260330.30001199999</v>
      </c>
      <c r="CI205" s="69">
        <f t="shared" si="207"/>
        <v>800803.59001599997</v>
      </c>
      <c r="CJ205" s="68">
        <f t="shared" si="208"/>
        <v>26.05841667</v>
      </c>
      <c r="CK205" s="68">
        <f t="shared" si="209"/>
        <v>80.134330559999995</v>
      </c>
      <c r="CL205" s="68">
        <f t="shared" si="210"/>
        <v>26.05841667</v>
      </c>
      <c r="CM205" s="68">
        <f t="shared" si="211"/>
        <v>80.134330559999995</v>
      </c>
      <c r="CN205" s="68">
        <f t="shared" si="212"/>
        <v>0</v>
      </c>
      <c r="CO205" s="68">
        <f t="shared" si="213"/>
        <v>0</v>
      </c>
      <c r="CP205" s="68">
        <f t="shared" si="214"/>
        <v>0.43928729614546391</v>
      </c>
      <c r="CQ205" s="68">
        <f t="shared" si="215"/>
        <v>1.0027157713556663</v>
      </c>
      <c r="CR205" s="68">
        <f t="shared" si="216"/>
        <v>0</v>
      </c>
      <c r="CS205" s="68">
        <f t="shared" si="217"/>
        <v>0.48899531699999998</v>
      </c>
      <c r="CT205" s="68">
        <f t="shared" si="265"/>
        <v>0.23911642</v>
      </c>
      <c r="CU205" s="68">
        <f t="shared" si="218"/>
        <v>0</v>
      </c>
      <c r="CV205" s="68">
        <f t="shared" si="219"/>
        <v>0</v>
      </c>
      <c r="CW205" s="68">
        <f t="shared" si="220"/>
        <v>0</v>
      </c>
      <c r="CX205" s="68">
        <f t="shared" si="221"/>
        <v>0</v>
      </c>
      <c r="CY205" s="68">
        <f t="shared" si="222"/>
        <v>0</v>
      </c>
      <c r="CZ205" s="68" t="e">
        <f t="shared" si="223"/>
        <v>#DIV/0!</v>
      </c>
      <c r="DA205" s="68" t="e">
        <f t="shared" si="224"/>
        <v>#DIV/0!</v>
      </c>
      <c r="DB205" s="68" t="e">
        <f t="shared" si="225"/>
        <v>#DIV/0!</v>
      </c>
      <c r="DC205" s="68" t="e">
        <f t="shared" si="226"/>
        <v>#DIV/0!</v>
      </c>
      <c r="DD205" s="68" t="e">
        <f t="shared" si="227"/>
        <v>#DIV/0!</v>
      </c>
      <c r="DE205" s="68" t="e">
        <f t="shared" si="228"/>
        <v>#DIV/0!</v>
      </c>
      <c r="DF205" s="68" t="e">
        <f t="shared" si="266"/>
        <v>#DIV/0!</v>
      </c>
      <c r="DG205" s="68">
        <f t="shared" si="229"/>
        <v>0.45480516874807669</v>
      </c>
      <c r="DH205" s="68">
        <f t="shared" si="230"/>
        <v>1.3986079121535113</v>
      </c>
      <c r="DI205" s="68">
        <f t="shared" si="231"/>
        <v>0</v>
      </c>
      <c r="DJ205" s="68" t="e">
        <f t="shared" si="232"/>
        <v>#DIV/0!</v>
      </c>
      <c r="DK205" s="68" t="e">
        <f t="shared" si="233"/>
        <v>#DIV/0!</v>
      </c>
      <c r="DL205" s="68" t="e">
        <f t="shared" si="234"/>
        <v>#DIV/0!</v>
      </c>
      <c r="DM205" s="68" t="e">
        <f t="shared" si="235"/>
        <v>#DIV/0!</v>
      </c>
      <c r="DN205" s="68" t="e">
        <f t="shared" si="236"/>
        <v>#DIV/0!</v>
      </c>
      <c r="DO205" s="68" t="e">
        <f t="shared" si="237"/>
        <v>#DIV/0!</v>
      </c>
      <c r="DP205" s="68" t="e">
        <f t="shared" si="238"/>
        <v>#DIV/0!</v>
      </c>
      <c r="DQ205" s="68" t="e">
        <f t="shared" si="239"/>
        <v>#DIV/0!</v>
      </c>
      <c r="DR205" s="68" t="e">
        <f t="shared" si="240"/>
        <v>#DIV/0!</v>
      </c>
      <c r="DS205" s="68" t="e">
        <f t="shared" si="241"/>
        <v>#DIV/0!</v>
      </c>
      <c r="DT205" s="68" t="e">
        <f t="shared" si="242"/>
        <v>#DIV/0!</v>
      </c>
      <c r="DU205" s="68" t="e">
        <f t="shared" si="267"/>
        <v>#DIV/0!</v>
      </c>
      <c r="DV205" s="68" t="e">
        <f t="shared" si="243"/>
        <v>#DIV/0!</v>
      </c>
      <c r="DW205" s="68" t="e">
        <f t="shared" si="268"/>
        <v>#DIV/0!</v>
      </c>
      <c r="DX205" s="68">
        <f t="shared" si="244"/>
        <v>26.05841667</v>
      </c>
      <c r="DY205" s="68">
        <f t="shared" si="245"/>
        <v>80.134330559999995</v>
      </c>
      <c r="DZ205" s="68" t="e">
        <f t="shared" si="246"/>
        <v>#DIV/0!</v>
      </c>
      <c r="EA205" s="68" t="e">
        <f t="shared" si="247"/>
        <v>#DIV/0!</v>
      </c>
      <c r="EB205" s="68" t="e">
        <f t="shared" si="248"/>
        <v>#DIV/0!</v>
      </c>
      <c r="EC205" s="68" t="e">
        <f t="shared" si="249"/>
        <v>#DIV/0!</v>
      </c>
      <c r="ED205" s="68" t="e">
        <f t="shared" si="250"/>
        <v>#DIV/0!</v>
      </c>
      <c r="EE205" s="68" t="e">
        <f t="shared" si="251"/>
        <v>#DIV/0!</v>
      </c>
      <c r="EF205" s="68" t="e">
        <f t="shared" si="252"/>
        <v>#DIV/0!</v>
      </c>
      <c r="EG205" s="68" t="e">
        <f t="shared" si="253"/>
        <v>#DIV/0!</v>
      </c>
      <c r="EH205" s="68" t="e">
        <f t="shared" si="269"/>
        <v>#DIV/0!</v>
      </c>
      <c r="EI205" s="68" t="e">
        <f t="shared" si="254"/>
        <v>#DIV/0!</v>
      </c>
      <c r="EJ205" s="68" t="e">
        <f t="shared" si="255"/>
        <v>#DIV/0!</v>
      </c>
      <c r="EK205" s="68" t="e">
        <f t="shared" si="256"/>
        <v>#DIV/0!</v>
      </c>
      <c r="EL205" s="68" t="e">
        <f t="shared" si="257"/>
        <v>#DIV/0!</v>
      </c>
      <c r="EM205" s="68" t="e">
        <f t="shared" si="258"/>
        <v>#DIV/0!</v>
      </c>
      <c r="EN205" s="68" t="e">
        <f t="shared" si="259"/>
        <v>#DIV/0!</v>
      </c>
      <c r="EO205" s="68" t="e">
        <f t="shared" si="260"/>
        <v>#DIV/0!</v>
      </c>
      <c r="EP205" s="68" t="e">
        <f t="shared" si="261"/>
        <v>#DIV/0!</v>
      </c>
      <c r="EQ205" s="68" t="e">
        <f t="shared" si="262"/>
        <v>#DIV/0!</v>
      </c>
      <c r="ER205" s="68" t="e">
        <f t="shared" si="270"/>
        <v>#DIV/0!</v>
      </c>
    </row>
    <row r="206" spans="82:148" x14ac:dyDescent="0.25">
      <c r="CD206" s="68" t="s">
        <v>729</v>
      </c>
      <c r="CE206" s="69">
        <f t="shared" si="263"/>
        <v>260330.3</v>
      </c>
      <c r="CF206" s="69">
        <f t="shared" si="264"/>
        <v>800803.59</v>
      </c>
      <c r="CG206" s="70">
        <f t="shared" si="271"/>
        <v>0</v>
      </c>
      <c r="CH206" s="69">
        <f t="shared" si="206"/>
        <v>260330.30001199999</v>
      </c>
      <c r="CI206" s="69">
        <f t="shared" si="207"/>
        <v>800803.59001599997</v>
      </c>
      <c r="CJ206" s="68">
        <f t="shared" si="208"/>
        <v>26.05841667</v>
      </c>
      <c r="CK206" s="68">
        <f t="shared" si="209"/>
        <v>80.134330559999995</v>
      </c>
      <c r="CL206" s="68">
        <f t="shared" si="210"/>
        <v>26.05841667</v>
      </c>
      <c r="CM206" s="68">
        <f t="shared" si="211"/>
        <v>80.134330559999995</v>
      </c>
      <c r="CN206" s="68">
        <f t="shared" si="212"/>
        <v>0</v>
      </c>
      <c r="CO206" s="68">
        <f t="shared" si="213"/>
        <v>0</v>
      </c>
      <c r="CP206" s="68">
        <f t="shared" si="214"/>
        <v>0.43928729614546391</v>
      </c>
      <c r="CQ206" s="68">
        <f t="shared" si="215"/>
        <v>1.0027157713556663</v>
      </c>
      <c r="CR206" s="68">
        <f t="shared" si="216"/>
        <v>0</v>
      </c>
      <c r="CS206" s="68">
        <f t="shared" si="217"/>
        <v>0.48899531699999998</v>
      </c>
      <c r="CT206" s="68">
        <f t="shared" si="265"/>
        <v>0.23911642</v>
      </c>
      <c r="CU206" s="68">
        <f t="shared" si="218"/>
        <v>0</v>
      </c>
      <c r="CV206" s="68">
        <f t="shared" si="219"/>
        <v>0</v>
      </c>
      <c r="CW206" s="68">
        <f t="shared" si="220"/>
        <v>0</v>
      </c>
      <c r="CX206" s="68">
        <f t="shared" si="221"/>
        <v>0</v>
      </c>
      <c r="CY206" s="68">
        <f t="shared" si="222"/>
        <v>0</v>
      </c>
      <c r="CZ206" s="68" t="e">
        <f t="shared" si="223"/>
        <v>#DIV/0!</v>
      </c>
      <c r="DA206" s="68" t="e">
        <f t="shared" si="224"/>
        <v>#DIV/0!</v>
      </c>
      <c r="DB206" s="68" t="e">
        <f t="shared" si="225"/>
        <v>#DIV/0!</v>
      </c>
      <c r="DC206" s="68" t="e">
        <f t="shared" si="226"/>
        <v>#DIV/0!</v>
      </c>
      <c r="DD206" s="68" t="e">
        <f t="shared" si="227"/>
        <v>#DIV/0!</v>
      </c>
      <c r="DE206" s="68" t="e">
        <f t="shared" si="228"/>
        <v>#DIV/0!</v>
      </c>
      <c r="DF206" s="68" t="e">
        <f t="shared" si="266"/>
        <v>#DIV/0!</v>
      </c>
      <c r="DG206" s="68">
        <f t="shared" si="229"/>
        <v>0.45480516874807669</v>
      </c>
      <c r="DH206" s="68">
        <f t="shared" si="230"/>
        <v>1.3986079121535113</v>
      </c>
      <c r="DI206" s="68">
        <f t="shared" si="231"/>
        <v>0</v>
      </c>
      <c r="DJ206" s="68" t="e">
        <f t="shared" si="232"/>
        <v>#DIV/0!</v>
      </c>
      <c r="DK206" s="68" t="e">
        <f t="shared" si="233"/>
        <v>#DIV/0!</v>
      </c>
      <c r="DL206" s="68" t="e">
        <f t="shared" si="234"/>
        <v>#DIV/0!</v>
      </c>
      <c r="DM206" s="68" t="e">
        <f t="shared" si="235"/>
        <v>#DIV/0!</v>
      </c>
      <c r="DN206" s="68" t="e">
        <f t="shared" si="236"/>
        <v>#DIV/0!</v>
      </c>
      <c r="DO206" s="68" t="e">
        <f t="shared" si="237"/>
        <v>#DIV/0!</v>
      </c>
      <c r="DP206" s="68" t="e">
        <f t="shared" si="238"/>
        <v>#DIV/0!</v>
      </c>
      <c r="DQ206" s="68" t="e">
        <f t="shared" si="239"/>
        <v>#DIV/0!</v>
      </c>
      <c r="DR206" s="68" t="e">
        <f t="shared" si="240"/>
        <v>#DIV/0!</v>
      </c>
      <c r="DS206" s="68" t="e">
        <f t="shared" si="241"/>
        <v>#DIV/0!</v>
      </c>
      <c r="DT206" s="68" t="e">
        <f t="shared" si="242"/>
        <v>#DIV/0!</v>
      </c>
      <c r="DU206" s="68" t="e">
        <f t="shared" si="267"/>
        <v>#DIV/0!</v>
      </c>
      <c r="DV206" s="68" t="e">
        <f t="shared" si="243"/>
        <v>#DIV/0!</v>
      </c>
      <c r="DW206" s="68" t="e">
        <f t="shared" si="268"/>
        <v>#DIV/0!</v>
      </c>
      <c r="DX206" s="68">
        <f t="shared" si="244"/>
        <v>26.05841667</v>
      </c>
      <c r="DY206" s="68">
        <f t="shared" si="245"/>
        <v>80.134330559999995</v>
      </c>
      <c r="DZ206" s="68" t="e">
        <f t="shared" si="246"/>
        <v>#DIV/0!</v>
      </c>
      <c r="EA206" s="68" t="e">
        <f t="shared" si="247"/>
        <v>#DIV/0!</v>
      </c>
      <c r="EB206" s="68" t="e">
        <f t="shared" si="248"/>
        <v>#DIV/0!</v>
      </c>
      <c r="EC206" s="68" t="e">
        <f t="shared" si="249"/>
        <v>#DIV/0!</v>
      </c>
      <c r="ED206" s="68" t="e">
        <f t="shared" si="250"/>
        <v>#DIV/0!</v>
      </c>
      <c r="EE206" s="68" t="e">
        <f t="shared" si="251"/>
        <v>#DIV/0!</v>
      </c>
      <c r="EF206" s="68" t="e">
        <f t="shared" si="252"/>
        <v>#DIV/0!</v>
      </c>
      <c r="EG206" s="68" t="e">
        <f t="shared" si="253"/>
        <v>#DIV/0!</v>
      </c>
      <c r="EH206" s="68" t="e">
        <f t="shared" si="269"/>
        <v>#DIV/0!</v>
      </c>
      <c r="EI206" s="68" t="e">
        <f t="shared" si="254"/>
        <v>#DIV/0!</v>
      </c>
      <c r="EJ206" s="68" t="e">
        <f t="shared" si="255"/>
        <v>#DIV/0!</v>
      </c>
      <c r="EK206" s="68" t="e">
        <f t="shared" si="256"/>
        <v>#DIV/0!</v>
      </c>
      <c r="EL206" s="68" t="e">
        <f t="shared" si="257"/>
        <v>#DIV/0!</v>
      </c>
      <c r="EM206" s="68" t="e">
        <f t="shared" si="258"/>
        <v>#DIV/0!</v>
      </c>
      <c r="EN206" s="68" t="e">
        <f t="shared" si="259"/>
        <v>#DIV/0!</v>
      </c>
      <c r="EO206" s="68" t="e">
        <f t="shared" si="260"/>
        <v>#DIV/0!</v>
      </c>
      <c r="EP206" s="68" t="e">
        <f t="shared" si="261"/>
        <v>#DIV/0!</v>
      </c>
      <c r="EQ206" s="68" t="e">
        <f t="shared" si="262"/>
        <v>#DIV/0!</v>
      </c>
      <c r="ER206" s="68" t="e">
        <f t="shared" si="270"/>
        <v>#DIV/0!</v>
      </c>
    </row>
  </sheetData>
  <sheetProtection sheet="1" objects="1" selectLockedCells="1"/>
  <mergeCells count="3">
    <mergeCell ref="J9:R9"/>
    <mergeCell ref="G9:H9"/>
    <mergeCell ref="B7:E7"/>
  </mergeCells>
  <phoneticPr fontId="1" type="noConversion"/>
  <conditionalFormatting sqref="J11:R60">
    <cfRule type="cellIs" dxfId="1" priority="1" stopIfTrue="1" operator="notEqual">
      <formula>"No"</formula>
    </cfRule>
    <cfRule type="cellIs" dxfId="0" priority="2" stopIfTrue="1" operator="equal">
      <formula>$M$1</formula>
    </cfRule>
  </conditionalFormatting>
  <dataValidations count="1">
    <dataValidation type="list" allowBlank="1" showInputMessage="1" showErrorMessage="1" sqref="D5" xr:uid="{00000000-0002-0000-0200-000000000000}">
      <formula1>Variation</formula1>
    </dataValidation>
  </dataValidations>
  <hyperlinks>
    <hyperlink ref="B7" location="Instructions!A1" display="See the &quot;Instruction&quot; tab for more information" xr:uid="{00000000-0004-0000-0200-000000000000}"/>
  </hyperlinks>
  <pageMargins left="0.75" right="0.75" top="1" bottom="1" header="0.5" footer="0.5"/>
  <pageSetup scale="36" orientation="landscape" horizontalDpi="4294967295"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30" sqref="J30"/>
    </sheetView>
  </sheetViews>
  <sheetFormatPr defaultRowHeight="13.2" x14ac:dyDescent="0.25"/>
  <cols>
    <col min="1" max="1" width="24.33203125" customWidth="1"/>
  </cols>
  <sheetData>
    <row r="1" spans="1:1" ht="15.6" x14ac:dyDescent="0.3">
      <c r="A1" s="212" t="s">
        <v>941</v>
      </c>
    </row>
  </sheetData>
  <sheetProtection sheet="1" object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H33"/>
  <sheetViews>
    <sheetView topLeftCell="AV1" workbookViewId="0">
      <selection activeCell="BF18" sqref="BF18"/>
    </sheetView>
  </sheetViews>
  <sheetFormatPr defaultRowHeight="13.2" x14ac:dyDescent="0.25"/>
  <cols>
    <col min="1" max="1" width="12" customWidth="1"/>
    <col min="2" max="2" width="19.5546875" customWidth="1"/>
    <col min="3" max="24" width="10.6640625" style="1" customWidth="1"/>
    <col min="25" max="25" width="9.109375" style="166"/>
    <col min="26" max="82" width="10.6640625" style="1" customWidth="1"/>
  </cols>
  <sheetData>
    <row r="1" spans="1:86" ht="66" x14ac:dyDescent="0.25">
      <c r="B1" t="s">
        <v>16</v>
      </c>
      <c r="C1" s="1" t="s">
        <v>43</v>
      </c>
      <c r="D1" s="1" t="s">
        <v>44</v>
      </c>
      <c r="E1" s="1" t="s">
        <v>49</v>
      </c>
      <c r="F1" s="1" t="s">
        <v>45</v>
      </c>
      <c r="G1" s="1" t="s">
        <v>46</v>
      </c>
      <c r="H1" s="1" t="s">
        <v>47</v>
      </c>
      <c r="I1" s="1" t="s">
        <v>48</v>
      </c>
      <c r="J1" s="1" t="s">
        <v>912</v>
      </c>
      <c r="K1" s="1" t="s">
        <v>50</v>
      </c>
      <c r="L1" s="1" t="s">
        <v>51</v>
      </c>
      <c r="M1" s="1" t="s">
        <v>52</v>
      </c>
      <c r="N1" s="1" t="s">
        <v>53</v>
      </c>
      <c r="O1" s="1" t="s">
        <v>54</v>
      </c>
      <c r="P1" s="1" t="s">
        <v>55</v>
      </c>
      <c r="Q1" s="1" t="s">
        <v>56</v>
      </c>
      <c r="R1" s="1" t="s">
        <v>57</v>
      </c>
      <c r="S1" s="1" t="s">
        <v>58</v>
      </c>
      <c r="T1" s="1" t="s">
        <v>59</v>
      </c>
      <c r="U1" s="1" t="s">
        <v>60</v>
      </c>
      <c r="V1" s="1" t="s">
        <v>61</v>
      </c>
      <c r="W1" s="1" t="s">
        <v>62</v>
      </c>
      <c r="X1" s="1" t="s">
        <v>63</v>
      </c>
      <c r="Y1" s="163" t="s">
        <v>908</v>
      </c>
      <c r="Z1" s="1" t="s">
        <v>64</v>
      </c>
      <c r="AA1" s="1" t="s">
        <v>65</v>
      </c>
      <c r="AB1" s="1" t="s">
        <v>945</v>
      </c>
      <c r="AC1" s="1" t="s">
        <v>66</v>
      </c>
      <c r="AD1" s="1" t="s">
        <v>67</v>
      </c>
      <c r="AE1" s="1" t="s">
        <v>68</v>
      </c>
      <c r="AF1" s="1" t="s">
        <v>69</v>
      </c>
      <c r="AG1" s="1" t="s">
        <v>70</v>
      </c>
      <c r="AH1" s="1" t="s">
        <v>71</v>
      </c>
      <c r="AI1" s="1" t="s">
        <v>72</v>
      </c>
      <c r="AJ1" s="1" t="s">
        <v>73</v>
      </c>
      <c r="AK1" s="1" t="s">
        <v>74</v>
      </c>
      <c r="AL1" s="1" t="s">
        <v>75</v>
      </c>
      <c r="AM1" s="1" t="s">
        <v>76</v>
      </c>
      <c r="AN1" s="1" t="s">
        <v>77</v>
      </c>
      <c r="AO1" s="1" t="s">
        <v>78</v>
      </c>
      <c r="AP1" s="1" t="s">
        <v>79</v>
      </c>
      <c r="AQ1" s="1" t="s">
        <v>80</v>
      </c>
      <c r="AR1" s="1" t="s">
        <v>81</v>
      </c>
      <c r="AS1" s="1" t="s">
        <v>82</v>
      </c>
      <c r="AT1" s="1" t="s">
        <v>83</v>
      </c>
      <c r="AU1" s="1" t="s">
        <v>84</v>
      </c>
      <c r="AV1" s="1" t="s">
        <v>85</v>
      </c>
      <c r="AW1" s="1" t="s">
        <v>86</v>
      </c>
      <c r="AX1" s="1" t="s">
        <v>87</v>
      </c>
      <c r="AY1" s="1" t="s">
        <v>88</v>
      </c>
      <c r="AZ1" s="1" t="s">
        <v>89</v>
      </c>
      <c r="BA1" s="1" t="s">
        <v>90</v>
      </c>
      <c r="BB1" s="1" t="s">
        <v>91</v>
      </c>
      <c r="BC1" s="1" t="s">
        <v>92</v>
      </c>
      <c r="BD1" s="1" t="s">
        <v>93</v>
      </c>
      <c r="BE1" s="1" t="s">
        <v>94</v>
      </c>
      <c r="BF1" s="1" t="s">
        <v>95</v>
      </c>
      <c r="BG1" s="1" t="s">
        <v>96</v>
      </c>
      <c r="BH1" s="1" t="s">
        <v>41</v>
      </c>
      <c r="BI1" s="1" t="s">
        <v>42</v>
      </c>
      <c r="BJ1" s="1" t="s">
        <v>30</v>
      </c>
      <c r="BK1" s="1" t="s">
        <v>31</v>
      </c>
      <c r="BL1" s="1" t="s">
        <v>32</v>
      </c>
      <c r="BM1" s="1" t="s">
        <v>33</v>
      </c>
      <c r="BN1" s="1" t="s">
        <v>34</v>
      </c>
      <c r="BO1" s="1" t="s">
        <v>35</v>
      </c>
      <c r="BP1" s="1" t="s">
        <v>36</v>
      </c>
      <c r="BQ1" s="1" t="s">
        <v>37</v>
      </c>
      <c r="BR1" s="1" t="s">
        <v>916</v>
      </c>
      <c r="BS1" s="1" t="s">
        <v>38</v>
      </c>
      <c r="BT1" s="1" t="s">
        <v>39</v>
      </c>
      <c r="BU1" s="1" t="s">
        <v>40</v>
      </c>
      <c r="BV1" s="1" t="s">
        <v>29</v>
      </c>
      <c r="BW1" s="1" t="s">
        <v>923</v>
      </c>
      <c r="BX1" s="1" t="s">
        <v>924</v>
      </c>
      <c r="BY1" s="1" t="s">
        <v>925</v>
      </c>
      <c r="BZ1" s="1" t="s">
        <v>926</v>
      </c>
      <c r="CE1" s="1" t="s">
        <v>923</v>
      </c>
      <c r="CF1" s="1" t="s">
        <v>924</v>
      </c>
      <c r="CG1" s="1" t="s">
        <v>925</v>
      </c>
      <c r="CH1" s="1" t="s">
        <v>926</v>
      </c>
    </row>
    <row r="2" spans="1:86" x14ac:dyDescent="0.25">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116</v>
      </c>
      <c r="T2" s="1" t="s">
        <v>117</v>
      </c>
      <c r="U2" s="1" t="s">
        <v>113</v>
      </c>
      <c r="V2" s="1" t="s">
        <v>114</v>
      </c>
      <c r="W2" s="1" t="s">
        <v>118</v>
      </c>
      <c r="X2" s="1" t="s">
        <v>115</v>
      </c>
      <c r="Y2" s="164" t="s">
        <v>119</v>
      </c>
      <c r="Z2" s="1" t="s">
        <v>120</v>
      </c>
      <c r="AA2" s="1" t="s">
        <v>121</v>
      </c>
      <c r="AB2" s="1" t="s">
        <v>122</v>
      </c>
      <c r="AC2" s="1" t="s">
        <v>123</v>
      </c>
      <c r="AD2" s="1" t="s">
        <v>124</v>
      </c>
      <c r="AE2" s="1" t="s">
        <v>125</v>
      </c>
      <c r="AF2" s="1" t="s">
        <v>126</v>
      </c>
      <c r="AG2" s="1" t="s">
        <v>127</v>
      </c>
      <c r="AH2" s="1" t="s">
        <v>128</v>
      </c>
      <c r="AI2" s="1" t="s">
        <v>129</v>
      </c>
      <c r="AJ2" s="1" t="s">
        <v>130</v>
      </c>
      <c r="AK2" s="1" t="s">
        <v>131</v>
      </c>
      <c r="AL2" s="1" t="s">
        <v>132</v>
      </c>
      <c r="AM2" s="1" t="s">
        <v>133</v>
      </c>
      <c r="AN2" s="1" t="s">
        <v>134</v>
      </c>
      <c r="AO2" s="1" t="s">
        <v>135</v>
      </c>
      <c r="AP2" s="1" t="s">
        <v>136</v>
      </c>
      <c r="AQ2" s="1" t="s">
        <v>137</v>
      </c>
      <c r="AR2" s="1" t="s">
        <v>138</v>
      </c>
      <c r="AS2" s="1" t="s">
        <v>139</v>
      </c>
      <c r="AT2" s="1" t="s">
        <v>140</v>
      </c>
      <c r="AU2" s="1" t="s">
        <v>141</v>
      </c>
      <c r="AV2" s="1" t="s">
        <v>142</v>
      </c>
      <c r="AW2" s="1" t="s">
        <v>143</v>
      </c>
      <c r="AX2" s="1" t="s">
        <v>144</v>
      </c>
      <c r="AY2" s="1" t="s">
        <v>145</v>
      </c>
      <c r="AZ2" s="1" t="s">
        <v>146</v>
      </c>
      <c r="BA2" s="1" t="s">
        <v>147</v>
      </c>
      <c r="BB2" s="1" t="s">
        <v>148</v>
      </c>
      <c r="BC2" s="1" t="s">
        <v>149</v>
      </c>
      <c r="BD2" s="1" t="s">
        <v>150</v>
      </c>
      <c r="BE2" s="1" t="s">
        <v>151</v>
      </c>
      <c r="BF2" s="1" t="s">
        <v>152</v>
      </c>
      <c r="BG2" s="1" t="s">
        <v>153</v>
      </c>
      <c r="BH2" s="1" t="s">
        <v>154</v>
      </c>
      <c r="BI2" s="1" t="s">
        <v>155</v>
      </c>
      <c r="BJ2" s="1" t="s">
        <v>156</v>
      </c>
      <c r="BK2" s="1" t="s">
        <v>157</v>
      </c>
      <c r="BL2" s="1" t="s">
        <v>158</v>
      </c>
      <c r="BM2" s="1" t="s">
        <v>159</v>
      </c>
      <c r="BN2" s="1" t="s">
        <v>160</v>
      </c>
      <c r="BO2" s="1" t="s">
        <v>161</v>
      </c>
      <c r="BP2" s="1" t="s">
        <v>162</v>
      </c>
      <c r="BQ2" s="1" t="s">
        <v>163</v>
      </c>
      <c r="BR2" s="1" t="s">
        <v>164</v>
      </c>
      <c r="BS2" s="1" t="s">
        <v>907</v>
      </c>
      <c r="BT2" s="1" t="s">
        <v>914</v>
      </c>
      <c r="BU2" s="162" t="s">
        <v>915</v>
      </c>
      <c r="BV2" s="1" t="s">
        <v>927</v>
      </c>
      <c r="BW2" s="1" t="s">
        <v>928</v>
      </c>
      <c r="BX2" s="1" t="s">
        <v>929</v>
      </c>
      <c r="BY2" s="162" t="s">
        <v>930</v>
      </c>
      <c r="CA2" s="162"/>
      <c r="CB2" s="162"/>
      <c r="CC2" s="162"/>
      <c r="CD2" s="162"/>
      <c r="CE2" s="162" t="s">
        <v>927</v>
      </c>
      <c r="CF2" s="162" t="s">
        <v>928</v>
      </c>
      <c r="CG2" s="162" t="s">
        <v>929</v>
      </c>
      <c r="CH2" s="162" t="s">
        <v>930</v>
      </c>
    </row>
    <row r="3" spans="1:86" x14ac:dyDescent="0.25">
      <c r="B3" t="s">
        <v>0</v>
      </c>
      <c r="C3" s="2">
        <v>5732</v>
      </c>
      <c r="D3" s="2">
        <v>5997</v>
      </c>
      <c r="E3" s="2">
        <v>34392</v>
      </c>
      <c r="F3" s="2">
        <v>6283</v>
      </c>
      <c r="G3" s="2">
        <v>7000</v>
      </c>
      <c r="H3" s="2">
        <v>6283</v>
      </c>
      <c r="I3" s="2">
        <v>14991</v>
      </c>
      <c r="J3" s="2">
        <v>10141</v>
      </c>
      <c r="K3" s="2">
        <v>12800</v>
      </c>
      <c r="L3" s="2">
        <v>2950</v>
      </c>
      <c r="M3" s="2">
        <v>10500</v>
      </c>
      <c r="N3" s="2">
        <v>3350</v>
      </c>
      <c r="O3" s="2">
        <v>4450</v>
      </c>
      <c r="P3" s="2">
        <v>11200</v>
      </c>
      <c r="Q3" s="2">
        <v>17500</v>
      </c>
      <c r="R3" s="2">
        <v>8250</v>
      </c>
      <c r="S3" s="2">
        <v>8400</v>
      </c>
      <c r="T3" s="2">
        <v>5250</v>
      </c>
      <c r="U3" s="2">
        <v>11900</v>
      </c>
      <c r="V3" s="2">
        <v>6550</v>
      </c>
      <c r="W3" s="2">
        <v>7000</v>
      </c>
      <c r="X3" s="2">
        <v>9300</v>
      </c>
      <c r="Y3" s="165">
        <v>3680</v>
      </c>
      <c r="Z3" s="2">
        <v>24300</v>
      </c>
      <c r="AA3" s="2">
        <v>54000</v>
      </c>
      <c r="AB3" s="2">
        <v>52600</v>
      </c>
      <c r="AC3" s="2">
        <v>1670</v>
      </c>
      <c r="AD3" s="2">
        <v>2900</v>
      </c>
      <c r="AE3" s="2">
        <v>2600</v>
      </c>
      <c r="AF3" s="2">
        <v>3000</v>
      </c>
      <c r="AG3" s="2">
        <v>5070</v>
      </c>
      <c r="AH3" s="2">
        <v>4850</v>
      </c>
      <c r="AI3" s="2">
        <v>16315</v>
      </c>
      <c r="AJ3" s="2">
        <v>20172</v>
      </c>
      <c r="AK3" s="2">
        <v>4100</v>
      </c>
      <c r="AL3" s="2">
        <v>4960</v>
      </c>
      <c r="AM3" s="2">
        <v>5732</v>
      </c>
      <c r="AN3" s="2">
        <v>6600</v>
      </c>
      <c r="AO3" s="2">
        <v>9480</v>
      </c>
      <c r="AP3" s="2">
        <v>5732</v>
      </c>
      <c r="AQ3" s="2">
        <v>7385</v>
      </c>
      <c r="AR3" s="2">
        <v>3780</v>
      </c>
      <c r="AS3" s="2">
        <v>5291</v>
      </c>
      <c r="AT3" s="2">
        <v>6250</v>
      </c>
      <c r="AU3" s="2">
        <v>7904</v>
      </c>
      <c r="AV3" s="2">
        <v>10692</v>
      </c>
      <c r="AW3" s="2">
        <v>24332</v>
      </c>
      <c r="AX3" s="2">
        <v>7000</v>
      </c>
      <c r="AY3" s="2">
        <v>14200</v>
      </c>
      <c r="AZ3" s="2">
        <v>3000</v>
      </c>
      <c r="BA3" s="2">
        <v>3100</v>
      </c>
      <c r="BB3" s="2">
        <v>3350</v>
      </c>
      <c r="BC3" s="2">
        <v>4100</v>
      </c>
      <c r="BD3" s="2">
        <v>6500</v>
      </c>
      <c r="BE3" s="2">
        <v>1370</v>
      </c>
      <c r="BF3" s="2">
        <v>2500</v>
      </c>
      <c r="BG3" s="2">
        <v>2700</v>
      </c>
      <c r="BH3" s="2">
        <v>3100</v>
      </c>
      <c r="BI3" s="2">
        <v>3500</v>
      </c>
      <c r="BJ3" s="2">
        <v>1850</v>
      </c>
      <c r="BK3" s="2">
        <v>2050</v>
      </c>
      <c r="BL3" s="2">
        <v>1750</v>
      </c>
      <c r="BM3" s="2">
        <v>2550</v>
      </c>
      <c r="BN3" s="2">
        <v>2900</v>
      </c>
      <c r="BO3" s="2">
        <v>7900</v>
      </c>
      <c r="BP3" s="2">
        <v>14600</v>
      </c>
      <c r="BQ3" s="2">
        <v>22000</v>
      </c>
      <c r="BR3" s="2">
        <v>42000</v>
      </c>
      <c r="BS3" s="2">
        <v>11700</v>
      </c>
      <c r="BT3" s="2">
        <v>26500</v>
      </c>
      <c r="BU3" s="1">
        <v>22000</v>
      </c>
      <c r="BV3" s="1">
        <v>74000</v>
      </c>
    </row>
    <row r="4" spans="1:86" x14ac:dyDescent="0.25">
      <c r="B4" s="166" t="s">
        <v>919</v>
      </c>
      <c r="C4" s="1">
        <v>42.8</v>
      </c>
      <c r="D4" s="1">
        <v>42.7</v>
      </c>
      <c r="E4" s="1">
        <v>74.8</v>
      </c>
      <c r="F4" s="1">
        <v>42.8</v>
      </c>
      <c r="G4" s="1">
        <v>42.5</v>
      </c>
      <c r="H4" s="1">
        <v>42.4</v>
      </c>
      <c r="I4" s="1">
        <v>54.7</v>
      </c>
      <c r="J4" s="1">
        <v>48.1</v>
      </c>
      <c r="K4" s="1">
        <v>52.2</v>
      </c>
      <c r="L4" s="1">
        <v>43.6</v>
      </c>
      <c r="M4" s="1">
        <v>57.8</v>
      </c>
      <c r="N4" s="1">
        <v>39.200000000000003</v>
      </c>
      <c r="O4" s="1">
        <v>42.4</v>
      </c>
      <c r="P4" s="1">
        <v>57.3</v>
      </c>
      <c r="Q4" s="1">
        <v>62.2</v>
      </c>
      <c r="R4" s="1">
        <v>50.3</v>
      </c>
      <c r="S4" s="1">
        <v>50.3</v>
      </c>
      <c r="T4" s="1">
        <v>41.4</v>
      </c>
      <c r="U4" s="1">
        <v>56.2</v>
      </c>
      <c r="V4" s="1">
        <v>42.6</v>
      </c>
      <c r="W4" s="1">
        <v>43</v>
      </c>
      <c r="X4" s="1">
        <v>50.3</v>
      </c>
      <c r="Y4" s="164">
        <v>42.48</v>
      </c>
      <c r="Z4" s="1">
        <v>84.3</v>
      </c>
      <c r="AA4" s="1">
        <v>99</v>
      </c>
      <c r="AB4" s="1">
        <v>83</v>
      </c>
      <c r="AC4" s="1">
        <v>28.1</v>
      </c>
      <c r="AD4" s="1">
        <v>32.9</v>
      </c>
      <c r="AE4" s="1">
        <v>29.3</v>
      </c>
      <c r="AF4" s="1">
        <v>30.1</v>
      </c>
      <c r="AG4" s="1">
        <v>42.3</v>
      </c>
      <c r="AH4" s="1">
        <v>33.4</v>
      </c>
      <c r="AI4" s="1">
        <v>59.6</v>
      </c>
      <c r="AJ4" s="1">
        <v>61.3</v>
      </c>
      <c r="AK4" s="1">
        <v>39.299999999999997</v>
      </c>
      <c r="AL4" s="1">
        <v>42.5</v>
      </c>
      <c r="AM4" s="1">
        <v>42.5</v>
      </c>
      <c r="AN4" s="1">
        <v>43.3</v>
      </c>
      <c r="AO4" s="1">
        <v>45.1</v>
      </c>
      <c r="AP4" s="1">
        <v>38.9</v>
      </c>
      <c r="AQ4" s="1">
        <v>42.7</v>
      </c>
      <c r="AR4" s="1">
        <v>37.799999999999997</v>
      </c>
      <c r="AS4" s="1">
        <v>41.5</v>
      </c>
      <c r="AT4" s="1">
        <v>40</v>
      </c>
      <c r="AU4" s="1">
        <v>42.7</v>
      </c>
      <c r="AV4" s="1">
        <v>46.9</v>
      </c>
      <c r="AW4" s="1">
        <v>64</v>
      </c>
      <c r="AX4" s="1">
        <v>52</v>
      </c>
      <c r="AY4" s="1">
        <v>52.5</v>
      </c>
      <c r="AZ4" s="1">
        <v>30.8</v>
      </c>
      <c r="BA4" s="1">
        <v>32.1</v>
      </c>
      <c r="BB4" s="1">
        <v>32.1</v>
      </c>
      <c r="BC4" s="1">
        <v>36.9</v>
      </c>
      <c r="BD4" s="1">
        <v>38.799999999999997</v>
      </c>
      <c r="BE4" s="1">
        <v>28.8</v>
      </c>
      <c r="BF4" s="1">
        <v>38.299999999999997</v>
      </c>
      <c r="BG4" s="1">
        <v>38.299999999999997</v>
      </c>
      <c r="BH4" s="1">
        <v>40.799999999999997</v>
      </c>
      <c r="BI4" s="1">
        <v>41.3</v>
      </c>
      <c r="BJ4" s="1">
        <v>29</v>
      </c>
      <c r="BK4" s="1">
        <v>30.8</v>
      </c>
      <c r="BL4" s="1">
        <v>30.8</v>
      </c>
      <c r="BM4" s="1">
        <v>31.2</v>
      </c>
      <c r="BN4" s="1">
        <v>31.2</v>
      </c>
      <c r="BO4" s="1">
        <v>62.6</v>
      </c>
      <c r="BP4" s="1">
        <v>65.8</v>
      </c>
      <c r="BQ4" s="1">
        <v>72.8</v>
      </c>
      <c r="BR4" s="1">
        <v>88.5</v>
      </c>
      <c r="BS4" s="1">
        <v>52.5</v>
      </c>
      <c r="BT4" s="1">
        <v>68.5</v>
      </c>
      <c r="BU4" s="1">
        <v>64.8</v>
      </c>
      <c r="BV4" s="1">
        <v>99.5</v>
      </c>
    </row>
    <row r="5" spans="1:86" x14ac:dyDescent="0.25">
      <c r="B5" t="s">
        <v>1</v>
      </c>
      <c r="C5" s="1">
        <v>42.8</v>
      </c>
      <c r="D5" s="1">
        <v>42.7</v>
      </c>
      <c r="E5" s="1">
        <v>74.8</v>
      </c>
      <c r="F5" s="1">
        <v>42.8</v>
      </c>
      <c r="G5" s="1">
        <v>42.5</v>
      </c>
      <c r="H5" s="1">
        <v>42.4</v>
      </c>
      <c r="I5" s="1">
        <v>54.7</v>
      </c>
      <c r="J5" s="1">
        <v>48.1</v>
      </c>
      <c r="K5" s="1">
        <v>52.2</v>
      </c>
      <c r="L5" s="1">
        <v>43.6</v>
      </c>
      <c r="M5" s="1">
        <v>57.8</v>
      </c>
      <c r="N5" s="1">
        <v>39.200000000000003</v>
      </c>
      <c r="O5" s="1">
        <v>42.4</v>
      </c>
      <c r="P5" s="1">
        <v>57.3</v>
      </c>
      <c r="Q5" s="1">
        <v>62.2</v>
      </c>
      <c r="R5" s="1">
        <v>50.3</v>
      </c>
      <c r="S5" s="1">
        <v>50.3</v>
      </c>
      <c r="T5" s="1">
        <v>41.4</v>
      </c>
      <c r="U5" s="1">
        <v>56.2</v>
      </c>
      <c r="V5" s="1">
        <v>42.6</v>
      </c>
      <c r="W5" s="1">
        <v>43</v>
      </c>
      <c r="X5" s="1">
        <v>50.3</v>
      </c>
      <c r="Y5" s="164">
        <v>42.48</v>
      </c>
      <c r="Z5" s="1">
        <v>84.3</v>
      </c>
      <c r="AA5" s="1">
        <v>99</v>
      </c>
      <c r="AB5" s="1">
        <v>57.3</v>
      </c>
      <c r="AC5" s="1">
        <v>28.1</v>
      </c>
      <c r="AD5" s="1">
        <v>32.9</v>
      </c>
      <c r="AE5" s="1">
        <v>29.3</v>
      </c>
      <c r="AF5" s="1">
        <v>30.1</v>
      </c>
      <c r="AG5" s="1">
        <v>42.3</v>
      </c>
      <c r="AH5" s="1">
        <v>33.4</v>
      </c>
      <c r="AI5" s="1">
        <v>59.6</v>
      </c>
      <c r="AJ5" s="1">
        <v>61.3</v>
      </c>
      <c r="AK5" s="1">
        <v>39.299999999999997</v>
      </c>
      <c r="AL5" s="1">
        <v>42.5</v>
      </c>
      <c r="AM5" s="1">
        <v>42.5</v>
      </c>
      <c r="AN5" s="1">
        <v>43.3</v>
      </c>
      <c r="AO5" s="1">
        <v>45.1</v>
      </c>
      <c r="AP5" s="1">
        <v>38.9</v>
      </c>
      <c r="AQ5" s="1">
        <v>42.7</v>
      </c>
      <c r="AR5" s="1">
        <v>37.799999999999997</v>
      </c>
      <c r="AS5" s="1">
        <v>41.5</v>
      </c>
      <c r="AT5" s="1">
        <v>40</v>
      </c>
      <c r="AU5" s="1">
        <v>42.7</v>
      </c>
      <c r="AV5" s="1">
        <v>46.9</v>
      </c>
      <c r="AW5" s="1">
        <v>64</v>
      </c>
      <c r="AX5" s="1">
        <v>52</v>
      </c>
      <c r="AY5" s="1">
        <v>52.5</v>
      </c>
      <c r="AZ5" s="1">
        <v>30.8</v>
      </c>
      <c r="BA5" s="1">
        <v>32.1</v>
      </c>
      <c r="BB5" s="1">
        <v>32.1</v>
      </c>
      <c r="BC5" s="1">
        <v>36.9</v>
      </c>
      <c r="BD5" s="1">
        <v>38.799999999999997</v>
      </c>
      <c r="BE5" s="1">
        <v>28.8</v>
      </c>
      <c r="BF5" s="1">
        <v>38.299999999999997</v>
      </c>
      <c r="BG5" s="1">
        <v>38.299999999999997</v>
      </c>
      <c r="BH5" s="1">
        <v>40.799999999999997</v>
      </c>
      <c r="BI5" s="1">
        <v>41.3</v>
      </c>
      <c r="BJ5" s="1">
        <v>29</v>
      </c>
      <c r="BK5" s="1">
        <v>30.8</v>
      </c>
      <c r="BL5" s="1">
        <v>30.8</v>
      </c>
      <c r="BM5" s="1">
        <v>31.2</v>
      </c>
      <c r="BN5" s="1">
        <v>31.2</v>
      </c>
      <c r="BO5" s="1">
        <v>62.6</v>
      </c>
      <c r="BP5" s="1">
        <v>65.8</v>
      </c>
      <c r="BQ5" s="1">
        <v>72.8</v>
      </c>
      <c r="BR5" s="1">
        <v>88.5</v>
      </c>
      <c r="BS5" s="1">
        <v>52.5</v>
      </c>
      <c r="BT5" s="1">
        <v>68.5</v>
      </c>
      <c r="BU5" s="1">
        <v>64.8</v>
      </c>
      <c r="BV5" s="1">
        <v>99.5</v>
      </c>
    </row>
    <row r="6" spans="1:86" x14ac:dyDescent="0.25">
      <c r="B6" t="s">
        <v>2</v>
      </c>
      <c r="C6" s="1">
        <v>11.2</v>
      </c>
      <c r="D6" s="1">
        <v>12.4</v>
      </c>
      <c r="E6" s="1">
        <v>21.7</v>
      </c>
      <c r="F6" s="1">
        <v>11.5</v>
      </c>
      <c r="G6" s="1">
        <v>11.2</v>
      </c>
      <c r="H6" s="1">
        <v>11.8</v>
      </c>
      <c r="I6" s="1">
        <v>16.399999999999999</v>
      </c>
      <c r="J6" s="1">
        <v>15</v>
      </c>
      <c r="K6" s="1">
        <v>15.5</v>
      </c>
      <c r="L6" s="1">
        <v>9.3000000000000007</v>
      </c>
      <c r="M6" s="1">
        <v>14.5</v>
      </c>
      <c r="N6" s="1">
        <v>10.8</v>
      </c>
      <c r="O6" s="1">
        <v>10.9</v>
      </c>
      <c r="P6" s="1">
        <v>14.9</v>
      </c>
      <c r="Q6" s="1">
        <v>15.9</v>
      </c>
      <c r="R6" s="1">
        <v>12.2</v>
      </c>
      <c r="S6" s="1">
        <v>11.7</v>
      </c>
      <c r="T6" s="1">
        <v>10.199999999999999</v>
      </c>
      <c r="U6" s="1">
        <v>14.9</v>
      </c>
      <c r="V6" s="1">
        <v>10.5</v>
      </c>
      <c r="W6" s="1">
        <v>13.3</v>
      </c>
      <c r="X6" s="1">
        <v>13.3</v>
      </c>
      <c r="Y6" s="164">
        <v>10.65</v>
      </c>
      <c r="Z6" s="1">
        <v>16.7</v>
      </c>
      <c r="AA6" s="1">
        <v>19</v>
      </c>
      <c r="AB6" s="1">
        <v>22.1</v>
      </c>
      <c r="AC6" s="1">
        <v>6.9</v>
      </c>
      <c r="AD6" s="1">
        <v>8.1</v>
      </c>
      <c r="AE6" s="1">
        <v>9</v>
      </c>
      <c r="AF6" s="1">
        <v>9.6999999999999993</v>
      </c>
      <c r="AG6" s="1">
        <v>10.199999999999999</v>
      </c>
      <c r="AH6" s="1">
        <v>9.6999999999999993</v>
      </c>
      <c r="AI6" s="1">
        <v>16.899999999999999</v>
      </c>
      <c r="AJ6" s="1">
        <v>16.3</v>
      </c>
      <c r="AK6" s="1">
        <v>10.199999999999999</v>
      </c>
      <c r="AL6" s="1">
        <v>11</v>
      </c>
      <c r="AM6" s="1">
        <v>9.9</v>
      </c>
      <c r="AN6" s="1">
        <v>11.5</v>
      </c>
      <c r="AO6" s="1">
        <v>13.3</v>
      </c>
      <c r="AP6" s="1">
        <v>11.5</v>
      </c>
      <c r="AQ6" s="1">
        <v>12.6</v>
      </c>
      <c r="AR6" s="1">
        <v>11.2</v>
      </c>
      <c r="AS6" s="1">
        <v>11.8</v>
      </c>
      <c r="AT6" s="1">
        <v>11.5</v>
      </c>
      <c r="AU6" s="1">
        <v>13</v>
      </c>
      <c r="AV6" s="1">
        <v>14.27</v>
      </c>
      <c r="AW6" s="1">
        <v>16.3</v>
      </c>
      <c r="AX6" s="1">
        <v>21</v>
      </c>
      <c r="AY6" s="1">
        <v>15.1</v>
      </c>
      <c r="AZ6" s="1">
        <v>8.4</v>
      </c>
      <c r="BA6" s="1">
        <v>8.1</v>
      </c>
      <c r="BB6" s="1">
        <v>9.6999999999999993</v>
      </c>
      <c r="BC6" s="1">
        <v>9.8000000000000007</v>
      </c>
      <c r="BD6" s="1">
        <v>12</v>
      </c>
      <c r="BE6" s="1">
        <v>8.9</v>
      </c>
      <c r="BF6" s="1">
        <v>10.8</v>
      </c>
      <c r="BG6" s="1">
        <v>11.4</v>
      </c>
      <c r="BH6" s="1">
        <v>10.199999999999999</v>
      </c>
      <c r="BI6" s="1">
        <v>9.1999999999999993</v>
      </c>
      <c r="BJ6" s="1">
        <v>9</v>
      </c>
      <c r="BK6" s="1">
        <v>8.6999999999999993</v>
      </c>
      <c r="BL6" s="1">
        <v>8.6999999999999993</v>
      </c>
      <c r="BM6" s="1">
        <v>11</v>
      </c>
      <c r="BN6" s="1">
        <v>11</v>
      </c>
      <c r="BO6" s="1">
        <v>13.1</v>
      </c>
      <c r="BP6" s="1">
        <v>15.9</v>
      </c>
      <c r="BQ6" s="1">
        <v>19</v>
      </c>
      <c r="BR6" s="1">
        <v>18.600000000000001</v>
      </c>
      <c r="BS6" s="1">
        <v>14.6</v>
      </c>
      <c r="BT6" s="1">
        <v>17.899999999999999</v>
      </c>
      <c r="BU6" s="1">
        <v>16.8</v>
      </c>
      <c r="BV6" s="1">
        <v>27.8</v>
      </c>
    </row>
    <row r="7" spans="1:86" x14ac:dyDescent="0.25">
      <c r="A7" s="244" t="s">
        <v>4</v>
      </c>
      <c r="B7" t="s">
        <v>7</v>
      </c>
      <c r="C7" s="1">
        <v>36.1</v>
      </c>
      <c r="D7" s="1">
        <v>36.6</v>
      </c>
      <c r="E7" s="1">
        <v>61</v>
      </c>
      <c r="F7" s="1">
        <v>36.1</v>
      </c>
      <c r="G7" s="1">
        <v>35.5</v>
      </c>
      <c r="H7" s="1">
        <v>35.5</v>
      </c>
      <c r="I7" s="1">
        <v>42.6</v>
      </c>
      <c r="J7" s="1">
        <v>39.799999999999997</v>
      </c>
      <c r="K7" s="1">
        <v>43.7</v>
      </c>
      <c r="L7" s="1">
        <v>37.1</v>
      </c>
      <c r="M7" s="1">
        <v>48</v>
      </c>
      <c r="N7" s="1">
        <v>33.4</v>
      </c>
      <c r="O7" s="1">
        <v>37</v>
      </c>
      <c r="P7" s="1">
        <v>48.2</v>
      </c>
      <c r="Q7" s="1">
        <v>52</v>
      </c>
      <c r="R7" s="1">
        <v>42</v>
      </c>
      <c r="S7" s="1">
        <v>42</v>
      </c>
      <c r="T7" s="1">
        <v>35</v>
      </c>
      <c r="U7" s="1">
        <v>46</v>
      </c>
      <c r="V7" s="1">
        <v>37</v>
      </c>
      <c r="W7" s="1">
        <v>36</v>
      </c>
      <c r="X7" s="1">
        <v>42</v>
      </c>
      <c r="Y7" s="164">
        <v>37</v>
      </c>
      <c r="Z7" s="1">
        <v>51</v>
      </c>
      <c r="AA7" s="1">
        <v>60</v>
      </c>
      <c r="AB7" s="1">
        <v>38.1</v>
      </c>
      <c r="AC7" s="1">
        <v>23.8</v>
      </c>
      <c r="AD7" s="1">
        <v>28.7</v>
      </c>
      <c r="AE7" s="1">
        <v>32</v>
      </c>
      <c r="AF7" s="1">
        <v>32</v>
      </c>
      <c r="AG7" s="1">
        <v>36.200000000000003</v>
      </c>
      <c r="AH7" s="1">
        <v>36.1</v>
      </c>
      <c r="AI7" s="1">
        <v>49.5</v>
      </c>
      <c r="AJ7" s="1">
        <v>53.1</v>
      </c>
      <c r="AK7" s="1">
        <v>34.5</v>
      </c>
      <c r="AL7" s="1">
        <v>35.1</v>
      </c>
      <c r="AM7" s="1">
        <v>35.9</v>
      </c>
      <c r="AN7" s="1">
        <v>37.700000000000003</v>
      </c>
      <c r="AO7" s="1">
        <v>39.200000000000003</v>
      </c>
      <c r="AP7" s="1">
        <v>32.299999999999997</v>
      </c>
      <c r="AQ7" s="1">
        <v>36.1</v>
      </c>
      <c r="AR7" s="1">
        <v>32.799999999999997</v>
      </c>
      <c r="AS7" s="1">
        <v>35.1</v>
      </c>
      <c r="AT7" s="1">
        <v>33.5</v>
      </c>
      <c r="AU7" s="1">
        <v>36.1</v>
      </c>
      <c r="AV7" s="1">
        <v>41.3</v>
      </c>
      <c r="AW7" s="1">
        <v>53.1</v>
      </c>
      <c r="AX7" s="1">
        <v>48.2</v>
      </c>
      <c r="AY7" s="1">
        <v>44</v>
      </c>
      <c r="AZ7" s="1">
        <v>26.4</v>
      </c>
      <c r="BA7" s="1">
        <v>27.4</v>
      </c>
      <c r="BB7" s="1">
        <v>27.4</v>
      </c>
      <c r="BC7" s="1">
        <v>27.5</v>
      </c>
      <c r="BD7" s="1">
        <v>33.799999999999997</v>
      </c>
      <c r="BE7" s="1">
        <v>25.2</v>
      </c>
      <c r="BF7" s="1">
        <v>33</v>
      </c>
      <c r="BG7" s="1">
        <v>33</v>
      </c>
      <c r="BH7" s="1">
        <v>35.4</v>
      </c>
      <c r="BI7" s="1">
        <v>35.299999999999997</v>
      </c>
      <c r="BJ7" s="1">
        <v>26</v>
      </c>
      <c r="BK7" s="1">
        <v>26.8</v>
      </c>
      <c r="BL7" s="1">
        <v>26.8</v>
      </c>
      <c r="BM7" s="1">
        <v>27.5</v>
      </c>
      <c r="BN7" s="1">
        <v>27.5</v>
      </c>
      <c r="BO7" s="1">
        <v>53</v>
      </c>
      <c r="BP7" s="1">
        <v>56</v>
      </c>
      <c r="BQ7" s="1">
        <v>62</v>
      </c>
      <c r="BR7" s="1">
        <v>72</v>
      </c>
      <c r="BS7" s="1">
        <v>44</v>
      </c>
      <c r="BT7" s="1">
        <v>56.3</v>
      </c>
      <c r="BU7" s="1">
        <v>53.8</v>
      </c>
      <c r="BV7" s="1">
        <v>79</v>
      </c>
    </row>
    <row r="8" spans="1:86" x14ac:dyDescent="0.25">
      <c r="A8" s="244"/>
      <c r="B8" t="s">
        <v>18</v>
      </c>
      <c r="C8" s="1">
        <v>4</v>
      </c>
      <c r="D8" s="1">
        <v>4</v>
      </c>
      <c r="E8" s="1">
        <v>5</v>
      </c>
      <c r="F8" s="1">
        <v>4</v>
      </c>
      <c r="G8" s="1">
        <v>4</v>
      </c>
      <c r="H8" s="1">
        <v>4</v>
      </c>
      <c r="I8" s="1">
        <v>5</v>
      </c>
      <c r="J8" s="1">
        <v>4</v>
      </c>
      <c r="K8" s="1">
        <v>4</v>
      </c>
      <c r="L8" s="1">
        <v>2</v>
      </c>
      <c r="M8" s="1">
        <v>2</v>
      </c>
      <c r="N8" s="1">
        <v>2</v>
      </c>
      <c r="O8" s="1">
        <v>2</v>
      </c>
      <c r="P8" s="1">
        <v>2</v>
      </c>
      <c r="Q8" s="1">
        <v>2</v>
      </c>
      <c r="R8" s="1">
        <v>2</v>
      </c>
      <c r="S8" s="1">
        <v>2</v>
      </c>
      <c r="T8" s="1">
        <v>4</v>
      </c>
      <c r="U8" s="1">
        <v>4</v>
      </c>
      <c r="V8" s="1">
        <v>4</v>
      </c>
      <c r="W8" s="1">
        <v>4</v>
      </c>
      <c r="X8" s="1">
        <v>4</v>
      </c>
      <c r="Y8" s="164">
        <v>2</v>
      </c>
      <c r="Z8" s="1">
        <v>3</v>
      </c>
      <c r="AA8" s="1">
        <v>3</v>
      </c>
      <c r="AB8" s="1">
        <v>6</v>
      </c>
      <c r="AC8" s="1">
        <v>3</v>
      </c>
      <c r="AD8" s="1">
        <v>3</v>
      </c>
      <c r="AE8" s="1">
        <v>3</v>
      </c>
      <c r="AF8" s="1">
        <v>3</v>
      </c>
      <c r="AG8" s="1">
        <v>3</v>
      </c>
      <c r="AH8" s="1">
        <v>3</v>
      </c>
      <c r="AI8" s="1">
        <v>4</v>
      </c>
      <c r="AJ8" s="1">
        <v>4</v>
      </c>
      <c r="AK8" s="1">
        <v>3</v>
      </c>
      <c r="AL8" s="1">
        <v>3</v>
      </c>
      <c r="AM8" s="1">
        <v>3</v>
      </c>
      <c r="AN8" s="1">
        <v>4</v>
      </c>
      <c r="AO8" s="1">
        <v>4</v>
      </c>
      <c r="AP8" s="1">
        <v>4</v>
      </c>
      <c r="AQ8" s="1">
        <v>4</v>
      </c>
      <c r="AR8" s="1">
        <v>3</v>
      </c>
      <c r="AS8" s="1">
        <v>3</v>
      </c>
      <c r="AT8" s="1">
        <v>4</v>
      </c>
      <c r="AU8" s="1">
        <v>4</v>
      </c>
      <c r="AV8" s="1">
        <v>5</v>
      </c>
      <c r="AW8" s="1">
        <v>5</v>
      </c>
      <c r="AX8" s="1">
        <v>4</v>
      </c>
      <c r="AY8" s="1">
        <v>4</v>
      </c>
      <c r="AZ8" s="1">
        <v>5</v>
      </c>
      <c r="BA8" s="1">
        <v>5</v>
      </c>
      <c r="BB8" s="1">
        <v>5</v>
      </c>
      <c r="BC8" s="1">
        <v>6</v>
      </c>
      <c r="BD8" s="1">
        <v>5</v>
      </c>
      <c r="BE8" s="1">
        <v>2</v>
      </c>
      <c r="BF8" s="1">
        <v>2</v>
      </c>
      <c r="BG8" s="1">
        <v>2</v>
      </c>
      <c r="BH8" s="1">
        <v>2</v>
      </c>
      <c r="BI8" s="1">
        <v>2</v>
      </c>
      <c r="BJ8" s="1">
        <v>3</v>
      </c>
      <c r="BK8" s="1">
        <v>3</v>
      </c>
      <c r="BL8" s="1">
        <v>3</v>
      </c>
      <c r="BM8" s="1">
        <v>3</v>
      </c>
      <c r="BN8" s="1">
        <v>4</v>
      </c>
      <c r="BO8" s="1">
        <v>3</v>
      </c>
      <c r="BP8" s="1">
        <v>4</v>
      </c>
      <c r="BQ8" s="1">
        <v>5</v>
      </c>
      <c r="BR8" s="1">
        <v>6</v>
      </c>
      <c r="BS8" s="1">
        <v>4</v>
      </c>
      <c r="BT8" s="1">
        <v>4</v>
      </c>
      <c r="BU8" s="1">
        <v>4</v>
      </c>
      <c r="BV8" s="1">
        <v>7</v>
      </c>
    </row>
    <row r="9" spans="1:86" x14ac:dyDescent="0.25">
      <c r="A9" s="244"/>
      <c r="B9" t="s">
        <v>3</v>
      </c>
      <c r="C9" s="1">
        <v>10</v>
      </c>
      <c r="D9" s="1">
        <v>8.3000000000000007</v>
      </c>
      <c r="E9" s="1">
        <v>15.4</v>
      </c>
      <c r="F9" s="1">
        <v>8</v>
      </c>
      <c r="G9" s="1">
        <v>8</v>
      </c>
      <c r="H9" s="1">
        <v>9.3000000000000007</v>
      </c>
      <c r="I9" s="1">
        <v>12.9</v>
      </c>
      <c r="J9" s="1">
        <v>8.6999999999999993</v>
      </c>
      <c r="K9" s="1">
        <v>12.5</v>
      </c>
      <c r="L9" s="1">
        <v>5</v>
      </c>
      <c r="M9" s="1">
        <v>7.3</v>
      </c>
      <c r="N9" s="1">
        <v>6</v>
      </c>
      <c r="O9" s="1">
        <v>6.4</v>
      </c>
      <c r="P9" s="1">
        <v>7.5</v>
      </c>
      <c r="Q9" s="1">
        <v>6.5</v>
      </c>
      <c r="R9" s="1">
        <v>9.1999999999999993</v>
      </c>
      <c r="S9" s="1">
        <v>9.1999999999999993</v>
      </c>
      <c r="T9" s="1">
        <v>7.8</v>
      </c>
      <c r="U9" s="1">
        <v>11.5</v>
      </c>
      <c r="V9" s="1">
        <v>6.4</v>
      </c>
      <c r="W9" s="1">
        <v>8.5</v>
      </c>
      <c r="X9" s="1">
        <v>8.1999999999999993</v>
      </c>
      <c r="Y9" s="164">
        <v>6.17</v>
      </c>
      <c r="Z9" s="1">
        <v>15</v>
      </c>
      <c r="AA9" s="1">
        <v>11</v>
      </c>
      <c r="AB9" s="1">
        <v>22.1</v>
      </c>
      <c r="AC9" s="1">
        <v>4.8</v>
      </c>
      <c r="AD9" s="1">
        <v>8</v>
      </c>
      <c r="AE9" s="1">
        <v>6</v>
      </c>
      <c r="AF9" s="1">
        <v>6.5</v>
      </c>
      <c r="AG9" s="1">
        <v>10.1</v>
      </c>
      <c r="AH9" s="1">
        <v>9.8000000000000007</v>
      </c>
      <c r="AI9" s="1">
        <v>14.4</v>
      </c>
      <c r="AJ9" s="1">
        <v>14.6</v>
      </c>
      <c r="AK9" s="1">
        <v>8.9</v>
      </c>
      <c r="AL9" s="1">
        <v>10.6</v>
      </c>
      <c r="AM9" s="1">
        <v>10.3</v>
      </c>
      <c r="AN9" s="1">
        <v>10.7</v>
      </c>
      <c r="AO9" s="1">
        <v>11.4</v>
      </c>
      <c r="AP9" s="1">
        <v>9.8000000000000007</v>
      </c>
      <c r="AQ9" s="1">
        <v>11</v>
      </c>
      <c r="AR9" s="1">
        <v>10.1</v>
      </c>
      <c r="AS9" s="1">
        <v>11</v>
      </c>
      <c r="AT9" s="1">
        <v>11</v>
      </c>
      <c r="AU9" s="1">
        <v>11.3</v>
      </c>
      <c r="AV9" s="1">
        <v>12</v>
      </c>
      <c r="AW9" s="1">
        <v>15.1</v>
      </c>
      <c r="AX9" s="1">
        <v>10.7</v>
      </c>
      <c r="AZ9" s="1">
        <v>8.1999999999999993</v>
      </c>
      <c r="BA9" s="1">
        <v>8</v>
      </c>
      <c r="BB9" s="1">
        <v>9.1999999999999993</v>
      </c>
      <c r="BC9" s="1">
        <v>9.1999999999999993</v>
      </c>
      <c r="BD9" s="1">
        <v>12</v>
      </c>
      <c r="BE9" s="1">
        <v>8.8000000000000007</v>
      </c>
      <c r="BF9" s="1">
        <v>10.5</v>
      </c>
      <c r="BG9" s="1">
        <v>10.5</v>
      </c>
      <c r="BH9" s="1">
        <v>10.1</v>
      </c>
      <c r="BI9" s="1">
        <v>9.5</v>
      </c>
      <c r="BJ9" s="1">
        <v>8.8000000000000007</v>
      </c>
      <c r="BK9" s="1">
        <v>8.6999999999999993</v>
      </c>
      <c r="BL9" s="1">
        <v>8.6999999999999993</v>
      </c>
      <c r="BM9" s="1">
        <v>9.1999999999999993</v>
      </c>
      <c r="BN9" s="1">
        <v>9.1999999999999993</v>
      </c>
      <c r="BP9" s="1">
        <v>11.4</v>
      </c>
      <c r="BQ9" s="1">
        <v>12.3</v>
      </c>
      <c r="BR9" s="1">
        <v>18.100000000000001</v>
      </c>
      <c r="BS9" s="1">
        <v>8.1999999999999993</v>
      </c>
      <c r="BT9" s="1">
        <v>9.8000000000000007</v>
      </c>
      <c r="BU9" s="1">
        <v>7.7</v>
      </c>
      <c r="BV9" s="1">
        <v>17</v>
      </c>
    </row>
    <row r="10" spans="1:86" x14ac:dyDescent="0.25">
      <c r="A10" s="244"/>
      <c r="B10" t="s">
        <v>5</v>
      </c>
      <c r="C10" s="1">
        <v>25</v>
      </c>
      <c r="D10" s="1">
        <v>25.5</v>
      </c>
      <c r="E10" s="1">
        <v>45</v>
      </c>
      <c r="J10" s="1">
        <v>38.4</v>
      </c>
      <c r="K10" s="1">
        <v>31</v>
      </c>
      <c r="L10" s="1">
        <v>25</v>
      </c>
      <c r="M10" s="1">
        <v>33.1</v>
      </c>
      <c r="N10" s="1">
        <v>22.5</v>
      </c>
      <c r="O10" s="1">
        <v>24</v>
      </c>
      <c r="P10" s="1">
        <v>33.200000000000003</v>
      </c>
      <c r="Q10" s="1">
        <v>37</v>
      </c>
      <c r="R10" s="1">
        <v>29.2</v>
      </c>
      <c r="S10" s="1">
        <v>29.2</v>
      </c>
      <c r="T10" s="1">
        <v>24.3</v>
      </c>
      <c r="U10" s="1">
        <v>34</v>
      </c>
      <c r="V10" s="1">
        <v>24.1</v>
      </c>
      <c r="X10" s="1">
        <v>29.2</v>
      </c>
      <c r="Y10" s="164">
        <v>23.93</v>
      </c>
      <c r="Z10" s="1">
        <v>59</v>
      </c>
      <c r="AA10" s="1">
        <v>69</v>
      </c>
      <c r="AB10" s="1">
        <v>41.5</v>
      </c>
      <c r="AC10" s="1">
        <v>16</v>
      </c>
      <c r="AD10" s="1">
        <v>19</v>
      </c>
      <c r="AE10" s="1">
        <v>20.6</v>
      </c>
      <c r="AF10" s="1">
        <v>21.2</v>
      </c>
      <c r="AG10" s="1">
        <v>20</v>
      </c>
      <c r="AH10" s="1">
        <v>27.7</v>
      </c>
      <c r="AI10" s="1">
        <v>35</v>
      </c>
      <c r="AJ10" s="1">
        <v>36</v>
      </c>
      <c r="AK10" s="1">
        <v>23</v>
      </c>
      <c r="AL10" s="1">
        <v>25</v>
      </c>
      <c r="AM10" s="1">
        <v>25</v>
      </c>
      <c r="AN10" s="1">
        <v>25</v>
      </c>
      <c r="AO10" s="1">
        <v>24</v>
      </c>
      <c r="AP10" s="1">
        <v>23</v>
      </c>
      <c r="AQ10" s="1">
        <v>25</v>
      </c>
      <c r="AR10" s="1">
        <v>24.6</v>
      </c>
      <c r="AS10" s="1">
        <v>23.7</v>
      </c>
      <c r="AT10" s="1">
        <v>22.8</v>
      </c>
      <c r="AU10" s="1">
        <v>28</v>
      </c>
      <c r="AV10" s="1">
        <v>23</v>
      </c>
      <c r="AW10" s="1">
        <v>38</v>
      </c>
      <c r="AX10" s="1">
        <v>28</v>
      </c>
      <c r="BA10" s="1">
        <v>19</v>
      </c>
      <c r="BB10" s="1">
        <v>17</v>
      </c>
      <c r="BD10" s="1">
        <v>23</v>
      </c>
      <c r="BE10" s="1">
        <v>16</v>
      </c>
      <c r="BF10" s="1">
        <v>22</v>
      </c>
      <c r="BH10" s="1">
        <v>23</v>
      </c>
      <c r="BI10" s="1">
        <v>24</v>
      </c>
      <c r="BJ10" s="1">
        <v>15</v>
      </c>
      <c r="BK10" s="1">
        <v>15.3</v>
      </c>
      <c r="BL10" s="1">
        <v>15.3</v>
      </c>
      <c r="BM10" s="1">
        <v>15.3</v>
      </c>
      <c r="BN10" s="1">
        <v>15.3</v>
      </c>
      <c r="BP10" s="1">
        <v>38</v>
      </c>
      <c r="BQ10" s="1">
        <v>40</v>
      </c>
      <c r="BR10" s="1">
        <v>52.5</v>
      </c>
      <c r="BS10" s="1">
        <v>30.5</v>
      </c>
      <c r="BT10" s="1">
        <v>39.9</v>
      </c>
      <c r="BU10" s="1">
        <v>38</v>
      </c>
      <c r="BV10" s="1">
        <v>59.6</v>
      </c>
    </row>
    <row r="11" spans="1:86" x14ac:dyDescent="0.25">
      <c r="A11" s="244" t="s">
        <v>6</v>
      </c>
      <c r="B11" t="s">
        <v>7</v>
      </c>
      <c r="C11" s="1">
        <v>6.7</v>
      </c>
      <c r="D11" s="1">
        <v>6.4</v>
      </c>
      <c r="E11" s="1">
        <v>13.1</v>
      </c>
      <c r="F11" s="1">
        <v>6.4</v>
      </c>
      <c r="G11" s="1">
        <v>6.4</v>
      </c>
      <c r="H11" s="1">
        <v>6.4</v>
      </c>
      <c r="I11" s="1">
        <v>8.9</v>
      </c>
      <c r="J11" s="1">
        <v>7.9</v>
      </c>
      <c r="K11" s="1">
        <v>8</v>
      </c>
      <c r="L11" s="1">
        <v>6.1</v>
      </c>
      <c r="M11" s="1">
        <v>8.5</v>
      </c>
      <c r="N11" s="1">
        <v>5.2</v>
      </c>
      <c r="O11" s="1">
        <v>5.4</v>
      </c>
      <c r="P11" s="1">
        <v>8.5</v>
      </c>
      <c r="Q11" s="1">
        <v>9.6999999999999993</v>
      </c>
      <c r="R11" s="1">
        <v>6.9</v>
      </c>
      <c r="S11" s="1">
        <v>6.9</v>
      </c>
      <c r="T11" s="1">
        <v>5.4</v>
      </c>
      <c r="U11" s="1">
        <v>8.6</v>
      </c>
      <c r="V11" s="1">
        <v>5.7</v>
      </c>
      <c r="W11" s="1">
        <v>5.4</v>
      </c>
      <c r="X11" s="1">
        <v>6.9</v>
      </c>
      <c r="Y11" s="164">
        <v>5.42</v>
      </c>
      <c r="Z11" s="1">
        <v>51</v>
      </c>
      <c r="AA11" s="1">
        <v>60</v>
      </c>
      <c r="AB11" s="1">
        <v>0</v>
      </c>
      <c r="AC11" s="1">
        <v>4.3</v>
      </c>
      <c r="AD11" s="1">
        <v>4.3</v>
      </c>
      <c r="AE11" s="1">
        <v>4.7</v>
      </c>
      <c r="AF11" s="1">
        <v>5</v>
      </c>
      <c r="AG11" s="1">
        <v>6.3</v>
      </c>
      <c r="AH11" s="1">
        <v>6.3</v>
      </c>
      <c r="AI11" s="1">
        <v>10</v>
      </c>
      <c r="AJ11" s="1">
        <v>10</v>
      </c>
      <c r="AK11" s="1" t="s">
        <v>24</v>
      </c>
      <c r="AL11" s="1">
        <v>6.1</v>
      </c>
      <c r="AM11" s="1">
        <v>6.1</v>
      </c>
      <c r="AN11" s="1" t="s">
        <v>24</v>
      </c>
      <c r="AO11" s="1" t="s">
        <v>24</v>
      </c>
      <c r="AP11" s="1">
        <v>6.2</v>
      </c>
      <c r="AQ11" s="1">
        <v>6.4</v>
      </c>
      <c r="AR11" s="1" t="s">
        <v>24</v>
      </c>
      <c r="AS11" s="1" t="s">
        <v>24</v>
      </c>
      <c r="AT11" s="1" t="s">
        <v>24</v>
      </c>
      <c r="AU11" s="1">
        <v>6.4</v>
      </c>
      <c r="AV11" s="1" t="s">
        <v>24</v>
      </c>
      <c r="AW11" s="1">
        <v>10.3</v>
      </c>
      <c r="AX11" s="1" t="s">
        <v>25</v>
      </c>
      <c r="AY11" s="1">
        <v>8.1</v>
      </c>
      <c r="AZ11" s="1">
        <v>4.5999999999999996</v>
      </c>
      <c r="BA11" s="1">
        <v>4.8</v>
      </c>
      <c r="BB11" s="1" t="s">
        <v>28</v>
      </c>
      <c r="BC11" s="1" t="s">
        <v>28</v>
      </c>
      <c r="BD11" s="1" t="s">
        <v>28</v>
      </c>
      <c r="BE11" s="1">
        <v>3.5</v>
      </c>
      <c r="BF11" s="1">
        <v>4.8</v>
      </c>
      <c r="BG11" s="1">
        <v>5</v>
      </c>
      <c r="BH11" s="1">
        <v>6</v>
      </c>
      <c r="BI11" s="1">
        <v>6</v>
      </c>
      <c r="BJ11" s="1">
        <v>3.8</v>
      </c>
      <c r="BK11" s="1">
        <v>4.3</v>
      </c>
      <c r="BL11" s="1">
        <v>4.3</v>
      </c>
      <c r="BM11" s="1">
        <v>4.3</v>
      </c>
      <c r="BN11" s="1">
        <v>4.3</v>
      </c>
      <c r="BO11" s="1">
        <v>8.1999999999999993</v>
      </c>
      <c r="BP11" s="1">
        <v>9.5</v>
      </c>
      <c r="BQ11" s="1">
        <v>10.3</v>
      </c>
      <c r="BR11" s="1">
        <v>16</v>
      </c>
      <c r="BS11" s="1">
        <v>8</v>
      </c>
      <c r="BT11" s="1">
        <v>11</v>
      </c>
      <c r="BU11" s="1">
        <v>11</v>
      </c>
      <c r="BV11" s="1">
        <v>20</v>
      </c>
    </row>
    <row r="12" spans="1:86" x14ac:dyDescent="0.25">
      <c r="A12" s="244"/>
      <c r="B12" t="s">
        <v>18</v>
      </c>
      <c r="C12" s="1">
        <v>2</v>
      </c>
      <c r="D12" s="1">
        <v>2</v>
      </c>
      <c r="F12" s="1">
        <v>2</v>
      </c>
      <c r="G12" s="1">
        <v>2</v>
      </c>
      <c r="H12" s="1">
        <v>2</v>
      </c>
      <c r="I12" s="1">
        <v>4</v>
      </c>
      <c r="J12" s="1">
        <v>3</v>
      </c>
      <c r="K12" s="1">
        <v>4</v>
      </c>
      <c r="L12" s="1">
        <v>2</v>
      </c>
      <c r="M12" s="1">
        <v>2</v>
      </c>
      <c r="N12" s="1">
        <v>2</v>
      </c>
      <c r="O12" s="1">
        <v>2</v>
      </c>
      <c r="P12" s="1">
        <v>2</v>
      </c>
      <c r="Q12" s="1">
        <v>2</v>
      </c>
      <c r="R12" s="1">
        <v>2</v>
      </c>
      <c r="S12" s="1">
        <v>2</v>
      </c>
      <c r="T12" s="1">
        <v>2</v>
      </c>
      <c r="U12" s="1">
        <v>2</v>
      </c>
      <c r="V12" s="1">
        <v>2</v>
      </c>
      <c r="W12" s="1">
        <v>2</v>
      </c>
      <c r="X12" s="1">
        <v>2</v>
      </c>
      <c r="Y12" s="164">
        <v>2</v>
      </c>
      <c r="Z12" s="1">
        <v>3</v>
      </c>
      <c r="AA12" s="1">
        <v>3</v>
      </c>
      <c r="AB12" s="1">
        <v>0</v>
      </c>
      <c r="AC12" s="1">
        <v>2</v>
      </c>
      <c r="AD12" s="1">
        <v>2</v>
      </c>
      <c r="AE12" s="1">
        <v>2</v>
      </c>
      <c r="AF12" s="1">
        <v>2</v>
      </c>
      <c r="AG12" s="1">
        <v>3</v>
      </c>
      <c r="AH12" s="1">
        <v>3</v>
      </c>
      <c r="AI12" s="1">
        <v>5</v>
      </c>
      <c r="AJ12" s="1">
        <v>5</v>
      </c>
      <c r="AL12" s="1">
        <v>2</v>
      </c>
      <c r="AM12" s="1">
        <v>2</v>
      </c>
      <c r="AP12" s="1">
        <v>2</v>
      </c>
      <c r="AQ12" s="1">
        <v>2</v>
      </c>
      <c r="AU12" s="1">
        <v>2</v>
      </c>
      <c r="AW12" s="1">
        <v>4</v>
      </c>
      <c r="AX12" s="1" t="s">
        <v>26</v>
      </c>
      <c r="AY12" s="1">
        <v>4</v>
      </c>
      <c r="AZ12" s="1">
        <v>2</v>
      </c>
      <c r="BA12" s="1">
        <v>2</v>
      </c>
      <c r="BE12" s="1">
        <v>2</v>
      </c>
      <c r="BF12" s="1">
        <v>2</v>
      </c>
      <c r="BG12" s="1">
        <v>2</v>
      </c>
      <c r="BH12" s="1">
        <v>2</v>
      </c>
      <c r="BI12" s="1">
        <v>2</v>
      </c>
      <c r="BJ12" s="1">
        <v>2</v>
      </c>
      <c r="BK12" s="1">
        <v>2</v>
      </c>
      <c r="BL12" s="1">
        <v>2</v>
      </c>
      <c r="BM12" s="1">
        <v>2</v>
      </c>
      <c r="BN12" s="1">
        <v>2</v>
      </c>
      <c r="BO12" s="1">
        <v>2</v>
      </c>
      <c r="BP12" s="1">
        <v>4</v>
      </c>
      <c r="BQ12" s="1">
        <v>5</v>
      </c>
      <c r="BR12" s="1">
        <v>4</v>
      </c>
      <c r="BS12" s="1">
        <v>4</v>
      </c>
      <c r="BT12" s="1">
        <v>4</v>
      </c>
      <c r="BU12" s="1">
        <v>4</v>
      </c>
      <c r="BV12" s="1">
        <v>4</v>
      </c>
    </row>
    <row r="13" spans="1:86" x14ac:dyDescent="0.25">
      <c r="A13" s="244"/>
      <c r="B13" t="s">
        <v>3</v>
      </c>
      <c r="C13" s="1">
        <v>2.2999999999999998</v>
      </c>
      <c r="D13" s="1">
        <v>4.2</v>
      </c>
      <c r="E13" s="1">
        <v>8.4</v>
      </c>
      <c r="F13" s="1">
        <v>3</v>
      </c>
      <c r="G13" s="1">
        <v>3.3</v>
      </c>
      <c r="H13" s="1">
        <v>3.8</v>
      </c>
      <c r="I13" s="1">
        <v>7.5</v>
      </c>
      <c r="J13" s="1">
        <v>7.1</v>
      </c>
      <c r="K13" s="1">
        <v>7.5</v>
      </c>
      <c r="L13" s="1">
        <v>3.5</v>
      </c>
      <c r="M13" s="1">
        <v>5.9</v>
      </c>
      <c r="N13" s="1">
        <v>2.1</v>
      </c>
      <c r="O13" s="1">
        <v>3.5</v>
      </c>
      <c r="P13" s="1">
        <v>6.1</v>
      </c>
      <c r="Q13" s="1">
        <v>3.5</v>
      </c>
      <c r="R13" s="1">
        <v>2.7</v>
      </c>
      <c r="S13" s="1">
        <v>2.7</v>
      </c>
      <c r="T13" s="1">
        <v>3.2</v>
      </c>
      <c r="U13" s="1">
        <v>4.8</v>
      </c>
      <c r="V13" s="1">
        <v>3.3</v>
      </c>
      <c r="W13" s="1">
        <v>3.5</v>
      </c>
      <c r="X13" s="1">
        <v>3.7</v>
      </c>
      <c r="Y13" s="164">
        <v>2.75</v>
      </c>
      <c r="Z13" s="1">
        <v>17</v>
      </c>
      <c r="AA13" s="1">
        <v>19</v>
      </c>
      <c r="AB13" s="1">
        <v>0</v>
      </c>
      <c r="AC13" s="1">
        <v>3</v>
      </c>
      <c r="AD13" s="1">
        <v>3</v>
      </c>
      <c r="AE13" s="1">
        <v>3.1</v>
      </c>
      <c r="AF13" s="1">
        <v>3.6</v>
      </c>
      <c r="AG13" s="1">
        <v>3.2</v>
      </c>
      <c r="AH13" s="1">
        <v>2.8</v>
      </c>
      <c r="AI13" s="1">
        <v>6</v>
      </c>
      <c r="AJ13" s="1">
        <v>7.1</v>
      </c>
      <c r="AK13" s="1">
        <v>2.4</v>
      </c>
      <c r="AL13" s="1">
        <v>2.2999999999999998</v>
      </c>
      <c r="AM13" s="1">
        <v>2.2999999999999998</v>
      </c>
      <c r="AN13" s="1">
        <v>2.6</v>
      </c>
      <c r="AO13" s="1">
        <v>2.6</v>
      </c>
      <c r="AP13" s="1">
        <v>6.1</v>
      </c>
      <c r="AQ13" s="1">
        <v>6.3</v>
      </c>
      <c r="AR13" s="1">
        <v>2.1</v>
      </c>
      <c r="AS13" s="1">
        <v>5.3</v>
      </c>
      <c r="AT13" s="1">
        <v>5.6</v>
      </c>
      <c r="AU13" s="1">
        <v>10.7</v>
      </c>
      <c r="AV13" s="1">
        <v>3.1</v>
      </c>
      <c r="AW13" s="1">
        <v>3.5</v>
      </c>
      <c r="AX13" s="1" t="s">
        <v>27</v>
      </c>
      <c r="AZ13" s="1">
        <v>2</v>
      </c>
      <c r="BA13" s="1">
        <v>1.3</v>
      </c>
      <c r="BB13" s="1" t="s">
        <v>27</v>
      </c>
      <c r="BC13" s="1" t="s">
        <v>27</v>
      </c>
      <c r="BD13" s="1" t="s">
        <v>27</v>
      </c>
      <c r="BE13" s="1">
        <v>4.0999999999999996</v>
      </c>
      <c r="BF13" s="1">
        <v>3.8</v>
      </c>
      <c r="BG13" s="1">
        <v>3.6</v>
      </c>
      <c r="BH13" s="1">
        <v>4</v>
      </c>
      <c r="BI13" s="1">
        <v>3</v>
      </c>
      <c r="BJ13" s="1">
        <v>2.5</v>
      </c>
      <c r="BK13" s="1">
        <v>2.8</v>
      </c>
      <c r="BL13" s="1">
        <v>2.8</v>
      </c>
      <c r="BM13" s="1">
        <v>3.2</v>
      </c>
      <c r="BN13" s="1">
        <v>3.2</v>
      </c>
      <c r="BP13" s="1">
        <v>6.4</v>
      </c>
      <c r="BQ13" s="1">
        <v>8.6</v>
      </c>
      <c r="BR13" s="1">
        <v>9.32</v>
      </c>
      <c r="BS13" s="1">
        <v>6.5</v>
      </c>
      <c r="BT13" s="1">
        <v>6.9</v>
      </c>
      <c r="BU13" s="1">
        <v>6.6</v>
      </c>
      <c r="BV13" s="1">
        <v>9.5</v>
      </c>
    </row>
    <row r="14" spans="1:86" x14ac:dyDescent="0.25">
      <c r="A14" s="244" t="s">
        <v>13</v>
      </c>
      <c r="B14" t="s">
        <v>8</v>
      </c>
      <c r="C14" s="1" t="s">
        <v>193</v>
      </c>
      <c r="D14" s="1" t="s">
        <v>194</v>
      </c>
      <c r="E14" s="1" t="s">
        <v>193</v>
      </c>
      <c r="F14" s="1" t="s">
        <v>193</v>
      </c>
      <c r="G14" s="1" t="s">
        <v>193</v>
      </c>
      <c r="H14" s="1" t="s">
        <v>194</v>
      </c>
      <c r="I14" s="1" t="s">
        <v>193</v>
      </c>
      <c r="J14" s="1" t="s">
        <v>913</v>
      </c>
      <c r="K14" s="1" t="s">
        <v>193</v>
      </c>
      <c r="L14" s="1" t="s">
        <v>194</v>
      </c>
      <c r="M14" s="1" t="s">
        <v>194</v>
      </c>
      <c r="N14" s="1" t="s">
        <v>194</v>
      </c>
      <c r="O14" s="1" t="s">
        <v>194</v>
      </c>
      <c r="P14" s="1" t="s">
        <v>194</v>
      </c>
      <c r="Q14" s="1" t="s">
        <v>195</v>
      </c>
      <c r="R14" s="1" t="s">
        <v>195</v>
      </c>
      <c r="S14" s="1" t="s">
        <v>195</v>
      </c>
      <c r="T14" s="1" t="s">
        <v>194</v>
      </c>
      <c r="U14" s="1" t="s">
        <v>194</v>
      </c>
      <c r="V14" s="1" t="s">
        <v>194</v>
      </c>
      <c r="W14" s="1" t="s">
        <v>194</v>
      </c>
      <c r="X14" s="1" t="s">
        <v>195</v>
      </c>
      <c r="Y14" s="164" t="s">
        <v>194</v>
      </c>
      <c r="Z14" s="1" t="s">
        <v>193</v>
      </c>
      <c r="AA14" s="1" t="s">
        <v>193</v>
      </c>
      <c r="AB14" s="1" t="s">
        <v>193</v>
      </c>
      <c r="AC14" s="1" t="s">
        <v>194</v>
      </c>
      <c r="AD14" s="1" t="s">
        <v>195</v>
      </c>
      <c r="AE14" s="1" t="s">
        <v>194</v>
      </c>
      <c r="AF14" s="1" t="s">
        <v>194</v>
      </c>
      <c r="AG14" s="1" t="s">
        <v>194</v>
      </c>
      <c r="AH14" s="1" t="s">
        <v>193</v>
      </c>
      <c r="AI14" s="1" t="s">
        <v>193</v>
      </c>
      <c r="AJ14" s="1" t="s">
        <v>193</v>
      </c>
      <c r="AK14" s="1" t="s">
        <v>194</v>
      </c>
      <c r="AL14" s="1" t="s">
        <v>194</v>
      </c>
      <c r="AM14" s="1" t="s">
        <v>194</v>
      </c>
      <c r="AN14" s="1" t="s">
        <v>193</v>
      </c>
      <c r="AO14" s="1" t="s">
        <v>193</v>
      </c>
      <c r="AP14" s="1" t="s">
        <v>194</v>
      </c>
      <c r="AQ14" s="1" t="s">
        <v>194</v>
      </c>
      <c r="AR14" s="1" t="s">
        <v>194</v>
      </c>
      <c r="AS14" s="1" t="s">
        <v>194</v>
      </c>
      <c r="AT14" s="1" t="s">
        <v>194</v>
      </c>
      <c r="AU14" s="1" t="s">
        <v>194</v>
      </c>
      <c r="AV14" s="1" t="s">
        <v>193</v>
      </c>
      <c r="AW14" s="1" t="s">
        <v>193</v>
      </c>
      <c r="AX14" s="1" t="s">
        <v>193</v>
      </c>
      <c r="AY14" s="1" t="s">
        <v>193</v>
      </c>
      <c r="AZ14" s="1" t="s">
        <v>194</v>
      </c>
      <c r="BA14" s="1" t="s">
        <v>194</v>
      </c>
      <c r="BB14" s="1" t="s">
        <v>194</v>
      </c>
      <c r="BC14" s="1" t="s">
        <v>194</v>
      </c>
      <c r="BD14" s="1" t="s">
        <v>194</v>
      </c>
      <c r="BE14" s="1" t="s">
        <v>194</v>
      </c>
      <c r="BF14" s="1" t="s">
        <v>194</v>
      </c>
      <c r="BG14" s="1" t="s">
        <v>194</v>
      </c>
      <c r="BH14" s="1" t="s">
        <v>194</v>
      </c>
      <c r="BI14" s="1" t="s">
        <v>194</v>
      </c>
      <c r="BJ14" s="1" t="s">
        <v>194</v>
      </c>
      <c r="BK14" s="1" t="s">
        <v>194</v>
      </c>
      <c r="BL14" s="1" t="s">
        <v>194</v>
      </c>
      <c r="BM14" s="1" t="s">
        <v>194</v>
      </c>
      <c r="BN14" s="1" t="s">
        <v>194</v>
      </c>
      <c r="BO14" s="1" t="s">
        <v>193</v>
      </c>
      <c r="BP14" s="1" t="s">
        <v>193</v>
      </c>
      <c r="BQ14" s="1" t="s">
        <v>193</v>
      </c>
      <c r="BR14" s="1" t="s">
        <v>913</v>
      </c>
      <c r="BS14" s="1" t="s">
        <v>193</v>
      </c>
      <c r="BT14" s="1" t="s">
        <v>193</v>
      </c>
      <c r="BU14" s="1" t="s">
        <v>193</v>
      </c>
      <c r="BV14" s="1" t="s">
        <v>193</v>
      </c>
    </row>
    <row r="15" spans="1:86" s="166" customFormat="1" x14ac:dyDescent="0.25">
      <c r="A15" s="244"/>
      <c r="B15" s="166" t="s">
        <v>9</v>
      </c>
      <c r="C15" s="164">
        <v>11.6</v>
      </c>
      <c r="D15" s="164">
        <v>13.4</v>
      </c>
      <c r="E15" s="164">
        <v>23</v>
      </c>
      <c r="F15" s="164">
        <v>11.5</v>
      </c>
      <c r="G15" s="164">
        <v>12.3</v>
      </c>
      <c r="H15" s="164">
        <v>11.1</v>
      </c>
      <c r="I15" s="164">
        <v>14.2</v>
      </c>
      <c r="J15" s="164">
        <v>13.92</v>
      </c>
      <c r="K15" s="164">
        <v>17.899999999999999</v>
      </c>
      <c r="L15" s="164">
        <v>9.9</v>
      </c>
      <c r="M15" s="164">
        <v>12.1</v>
      </c>
      <c r="N15" s="164">
        <v>8.1</v>
      </c>
      <c r="O15" s="164">
        <v>9.9</v>
      </c>
      <c r="P15" s="164">
        <v>12.1</v>
      </c>
      <c r="Q15" s="164">
        <v>12.1</v>
      </c>
      <c r="R15" s="164">
        <v>12.2</v>
      </c>
      <c r="S15" s="164">
        <v>12.2</v>
      </c>
      <c r="T15" s="164">
        <v>9.9</v>
      </c>
      <c r="U15" s="164">
        <v>12.1</v>
      </c>
      <c r="V15" s="164">
        <v>10</v>
      </c>
      <c r="W15" s="164">
        <v>9.9</v>
      </c>
      <c r="X15" s="164">
        <v>12.4</v>
      </c>
      <c r="Y15" s="164">
        <v>8.65</v>
      </c>
      <c r="Z15" s="164">
        <v>24.9</v>
      </c>
      <c r="AA15" s="164">
        <v>22.5</v>
      </c>
      <c r="AB15" s="164">
        <v>25</v>
      </c>
      <c r="AC15" s="164">
        <v>7.5</v>
      </c>
      <c r="AD15" s="164">
        <v>6.2</v>
      </c>
      <c r="AE15" s="164">
        <v>8</v>
      </c>
      <c r="AF15" s="164">
        <v>9.1999999999999993</v>
      </c>
      <c r="AG15" s="164">
        <v>10.8</v>
      </c>
      <c r="AH15" s="164">
        <v>11.5</v>
      </c>
      <c r="AI15" s="164">
        <v>13.3</v>
      </c>
      <c r="AJ15" s="164">
        <v>17.3</v>
      </c>
      <c r="AK15" s="164">
        <v>6.4</v>
      </c>
      <c r="AL15" s="164">
        <v>4.7</v>
      </c>
      <c r="AM15" s="164">
        <v>9.6</v>
      </c>
      <c r="AN15" s="164">
        <v>23.7</v>
      </c>
      <c r="AO15" s="164">
        <v>11.9</v>
      </c>
      <c r="AP15" s="164">
        <v>8.3000000000000007</v>
      </c>
      <c r="AQ15" s="164">
        <v>11.6</v>
      </c>
      <c r="AR15" s="164">
        <v>9.4</v>
      </c>
      <c r="AS15" s="164">
        <v>10.5</v>
      </c>
      <c r="AT15" s="164">
        <v>10.5</v>
      </c>
      <c r="AU15" s="164">
        <v>9.5</v>
      </c>
      <c r="AV15" s="164">
        <v>12.8</v>
      </c>
      <c r="AW15" s="164">
        <v>17.2</v>
      </c>
      <c r="AX15" s="164">
        <v>15.3</v>
      </c>
      <c r="AY15" s="164"/>
      <c r="AZ15" s="164">
        <v>8.1</v>
      </c>
      <c r="BA15" s="164">
        <v>8.1</v>
      </c>
      <c r="BB15" s="164">
        <v>8.1</v>
      </c>
      <c r="BC15" s="164">
        <v>10.1</v>
      </c>
      <c r="BD15" s="164">
        <v>7.3</v>
      </c>
      <c r="BE15" s="209">
        <v>11.6</v>
      </c>
      <c r="BF15" s="209">
        <v>11.6</v>
      </c>
      <c r="BG15" s="209">
        <v>11.6</v>
      </c>
      <c r="BH15" s="164">
        <v>8.3000000000000007</v>
      </c>
      <c r="BI15" s="164">
        <v>7.9</v>
      </c>
      <c r="BJ15" s="164">
        <v>8.3000000000000007</v>
      </c>
      <c r="BK15" s="164">
        <v>8.3000000000000007</v>
      </c>
      <c r="BL15" s="164">
        <v>8.3000000000000007</v>
      </c>
      <c r="BM15" s="164">
        <v>8.3000000000000007</v>
      </c>
      <c r="BN15" s="164">
        <v>8.3000000000000007</v>
      </c>
      <c r="BO15" s="164"/>
      <c r="BP15" s="164">
        <v>28.3</v>
      </c>
      <c r="BQ15" s="164">
        <v>23.5</v>
      </c>
      <c r="BR15" s="164">
        <v>24.23</v>
      </c>
      <c r="BS15" s="164">
        <v>16.399999999999999</v>
      </c>
      <c r="BT15" s="164">
        <v>20.3</v>
      </c>
      <c r="BU15" s="164">
        <v>29</v>
      </c>
      <c r="BV15" s="164">
        <v>27.3</v>
      </c>
      <c r="BW15" s="164"/>
      <c r="BX15" s="164"/>
      <c r="BY15" s="164"/>
      <c r="BZ15" s="164"/>
      <c r="CA15" s="164"/>
      <c r="CB15" s="164"/>
      <c r="CC15" s="164"/>
      <c r="CD15" s="164"/>
    </row>
    <row r="16" spans="1:86" x14ac:dyDescent="0.25">
      <c r="A16" s="244"/>
      <c r="B16" t="s">
        <v>10</v>
      </c>
      <c r="C16" s="1">
        <v>7.5</v>
      </c>
      <c r="D16" s="1">
        <v>5.5</v>
      </c>
      <c r="E16" s="1">
        <v>14.8</v>
      </c>
      <c r="F16" s="1">
        <v>7.1</v>
      </c>
      <c r="G16" s="1">
        <v>7.1</v>
      </c>
      <c r="H16" s="1">
        <v>7</v>
      </c>
      <c r="I16" s="1">
        <v>10</v>
      </c>
      <c r="J16" s="1">
        <v>8.4</v>
      </c>
      <c r="K16" s="1">
        <v>10.1</v>
      </c>
      <c r="L16" s="1">
        <v>7.5</v>
      </c>
      <c r="M16" s="1">
        <v>8.8000000000000007</v>
      </c>
      <c r="N16" s="1">
        <v>6.7</v>
      </c>
      <c r="O16" s="1">
        <v>7.7</v>
      </c>
      <c r="P16" s="1">
        <v>8.8000000000000007</v>
      </c>
      <c r="Q16" s="1">
        <v>8.6</v>
      </c>
      <c r="R16" s="1">
        <v>7.8</v>
      </c>
      <c r="S16" s="1">
        <v>7.8</v>
      </c>
      <c r="T16" s="1">
        <v>8.1</v>
      </c>
      <c r="U16" s="1">
        <v>9.5</v>
      </c>
      <c r="V16" s="1">
        <v>8.3000000000000007</v>
      </c>
      <c r="W16" s="1">
        <v>8.8000000000000007</v>
      </c>
      <c r="X16" s="1">
        <v>9.1999999999999993</v>
      </c>
      <c r="Y16" s="164">
        <v>6.33</v>
      </c>
      <c r="Z16" s="1">
        <v>14.5</v>
      </c>
      <c r="AA16" s="1">
        <v>10.5</v>
      </c>
      <c r="AB16" s="1">
        <v>15.3</v>
      </c>
      <c r="AC16" s="1">
        <v>6.8</v>
      </c>
      <c r="AD16" s="1">
        <v>6.8</v>
      </c>
      <c r="AE16" s="1">
        <v>7.3</v>
      </c>
      <c r="AF16" s="1">
        <v>8</v>
      </c>
      <c r="AG16" s="1">
        <v>7.8</v>
      </c>
      <c r="AH16" s="1">
        <v>8.5</v>
      </c>
      <c r="AI16" s="1">
        <v>9.8000000000000007</v>
      </c>
      <c r="AJ16" s="1">
        <v>9.8000000000000007</v>
      </c>
      <c r="AK16" s="1">
        <v>6.6</v>
      </c>
      <c r="AL16" s="1">
        <v>7.5</v>
      </c>
      <c r="AM16" s="1">
        <v>7.1</v>
      </c>
      <c r="AN16" s="1">
        <v>6.4</v>
      </c>
      <c r="AO16" s="1">
        <v>6.2</v>
      </c>
      <c r="AP16" s="1">
        <v>8.1999999999999993</v>
      </c>
      <c r="AQ16" s="1">
        <v>8.1999999999999993</v>
      </c>
      <c r="AR16" s="1">
        <v>6.8</v>
      </c>
      <c r="AS16" s="1">
        <v>7.9</v>
      </c>
      <c r="AT16" s="1">
        <v>6.6</v>
      </c>
      <c r="AU16" s="1">
        <v>7.9</v>
      </c>
      <c r="AV16" s="1">
        <v>6.2</v>
      </c>
      <c r="AW16" s="1">
        <v>9.8000000000000007</v>
      </c>
      <c r="AX16" s="1">
        <v>11.3</v>
      </c>
      <c r="AZ16" s="1">
        <v>6.3</v>
      </c>
      <c r="BA16" s="1">
        <v>6.4</v>
      </c>
      <c r="BB16" s="1">
        <v>6.3</v>
      </c>
      <c r="BC16" s="1">
        <v>8.8000000000000007</v>
      </c>
      <c r="BD16" s="1">
        <v>7.3</v>
      </c>
      <c r="BE16" s="209">
        <v>6.3</v>
      </c>
      <c r="BF16" s="209">
        <v>7.1</v>
      </c>
      <c r="BG16" s="209">
        <v>7.5</v>
      </c>
      <c r="BH16" s="1">
        <v>7.5</v>
      </c>
      <c r="BI16" s="1">
        <v>7.2</v>
      </c>
      <c r="BJ16" s="1">
        <v>6.5</v>
      </c>
      <c r="BK16" s="1">
        <v>6.5</v>
      </c>
      <c r="BL16" s="1">
        <v>6.5</v>
      </c>
      <c r="BM16" s="1">
        <v>6.5</v>
      </c>
      <c r="BN16" s="1">
        <v>6.5</v>
      </c>
      <c r="BP16" s="1">
        <v>14</v>
      </c>
      <c r="BQ16" s="1">
        <v>14</v>
      </c>
      <c r="BR16" s="1">
        <v>19.8</v>
      </c>
      <c r="BS16" s="1">
        <v>8</v>
      </c>
      <c r="BT16" s="1">
        <v>10.4</v>
      </c>
      <c r="BU16" s="1">
        <v>9.6999999999999993</v>
      </c>
      <c r="BV16" s="1">
        <v>13</v>
      </c>
    </row>
    <row r="17" spans="1:74" x14ac:dyDescent="0.25">
      <c r="A17" s="244" t="s">
        <v>15</v>
      </c>
      <c r="B17" t="s">
        <v>14</v>
      </c>
      <c r="C17" s="1">
        <v>2</v>
      </c>
      <c r="D17" s="1">
        <v>1</v>
      </c>
      <c r="E17" s="1">
        <v>3</v>
      </c>
      <c r="F17" s="1">
        <v>2</v>
      </c>
      <c r="G17" s="1">
        <v>2</v>
      </c>
      <c r="H17" s="1">
        <v>1</v>
      </c>
      <c r="I17" s="1">
        <v>2</v>
      </c>
      <c r="J17" s="1">
        <v>2</v>
      </c>
      <c r="K17" s="1">
        <v>2</v>
      </c>
      <c r="L17" s="1">
        <v>1</v>
      </c>
      <c r="M17" s="1">
        <v>1</v>
      </c>
      <c r="N17" s="1">
        <v>1</v>
      </c>
      <c r="O17" s="1">
        <v>1</v>
      </c>
      <c r="P17" s="1">
        <v>2</v>
      </c>
      <c r="Q17" s="1">
        <v>2</v>
      </c>
      <c r="R17" s="1">
        <v>2</v>
      </c>
      <c r="S17" s="1">
        <v>2</v>
      </c>
      <c r="T17" s="1">
        <v>1</v>
      </c>
      <c r="U17" s="1">
        <v>2</v>
      </c>
      <c r="V17" s="1">
        <v>2</v>
      </c>
      <c r="W17" s="1">
        <v>2</v>
      </c>
      <c r="X17" s="1">
        <v>2</v>
      </c>
      <c r="Y17" s="164">
        <v>1</v>
      </c>
      <c r="Z17" s="1">
        <v>2</v>
      </c>
      <c r="AA17" s="1">
        <v>2</v>
      </c>
      <c r="AB17" s="1">
        <v>2</v>
      </c>
      <c r="AC17" s="1">
        <v>1</v>
      </c>
      <c r="AD17" s="1">
        <v>1</v>
      </c>
      <c r="AE17" s="1">
        <v>1</v>
      </c>
      <c r="AF17" s="1">
        <v>1</v>
      </c>
      <c r="AG17" s="1">
        <v>1</v>
      </c>
      <c r="AH17" s="1">
        <v>1</v>
      </c>
      <c r="AI17" s="1">
        <v>2</v>
      </c>
      <c r="AJ17" s="1">
        <v>2</v>
      </c>
      <c r="AK17" s="1">
        <v>1</v>
      </c>
      <c r="AL17" s="1">
        <v>1</v>
      </c>
      <c r="AM17" s="1">
        <v>2</v>
      </c>
      <c r="AN17" s="1">
        <v>1</v>
      </c>
      <c r="AO17" s="1">
        <v>2</v>
      </c>
      <c r="AP17" s="1">
        <v>2</v>
      </c>
      <c r="AQ17" s="1">
        <v>2</v>
      </c>
      <c r="AR17" s="1">
        <v>1</v>
      </c>
      <c r="AS17" s="1">
        <v>1</v>
      </c>
      <c r="AT17" s="1">
        <v>2</v>
      </c>
      <c r="AU17" s="1">
        <v>2</v>
      </c>
      <c r="AV17" s="1">
        <v>2</v>
      </c>
      <c r="AW17" s="1">
        <v>2</v>
      </c>
      <c r="AX17" s="1">
        <v>1</v>
      </c>
      <c r="AY17" s="1">
        <v>2</v>
      </c>
      <c r="AZ17" s="1">
        <v>1</v>
      </c>
      <c r="BA17" s="1">
        <v>1</v>
      </c>
      <c r="BB17" s="1">
        <v>1</v>
      </c>
      <c r="BC17" s="1">
        <v>1</v>
      </c>
      <c r="BD17" s="1">
        <v>2</v>
      </c>
      <c r="BE17" s="1">
        <v>1</v>
      </c>
      <c r="BF17" s="1">
        <v>1</v>
      </c>
      <c r="BG17" s="1">
        <v>1</v>
      </c>
      <c r="BH17" s="1">
        <v>1</v>
      </c>
      <c r="BI17" s="1">
        <v>1</v>
      </c>
      <c r="BJ17" s="1">
        <v>1</v>
      </c>
      <c r="BK17" s="1">
        <v>1</v>
      </c>
      <c r="BL17" s="1">
        <v>1</v>
      </c>
      <c r="BM17" s="1">
        <v>1</v>
      </c>
      <c r="BN17" s="1">
        <v>1</v>
      </c>
      <c r="BO17" s="1">
        <v>1</v>
      </c>
      <c r="BP17" s="1">
        <v>2</v>
      </c>
      <c r="BQ17" s="1">
        <v>2</v>
      </c>
      <c r="BR17" s="1">
        <v>2</v>
      </c>
      <c r="BS17" s="1">
        <v>2</v>
      </c>
      <c r="BT17" s="1">
        <v>2</v>
      </c>
      <c r="BU17" s="1">
        <v>2</v>
      </c>
      <c r="BV17" s="1">
        <v>3</v>
      </c>
    </row>
    <row r="18" spans="1:74" x14ac:dyDescent="0.25">
      <c r="A18" s="244"/>
      <c r="B18" t="s">
        <v>8</v>
      </c>
      <c r="C18" s="1" t="s">
        <v>17</v>
      </c>
      <c r="D18" s="1" t="s">
        <v>17</v>
      </c>
      <c r="E18" s="1" t="s">
        <v>17</v>
      </c>
      <c r="F18" s="1" t="s">
        <v>17</v>
      </c>
      <c r="G18" s="1" t="s">
        <v>17</v>
      </c>
      <c r="H18" s="1" t="s">
        <v>17</v>
      </c>
      <c r="I18" s="1" t="s">
        <v>17</v>
      </c>
      <c r="J18" s="1" t="s">
        <v>17</v>
      </c>
      <c r="K18" s="1" t="s">
        <v>17</v>
      </c>
      <c r="L18" s="1" t="s">
        <v>19</v>
      </c>
      <c r="M18" s="1" t="s">
        <v>17</v>
      </c>
      <c r="N18" s="1" t="s">
        <v>17</v>
      </c>
      <c r="O18" s="1" t="s">
        <v>17</v>
      </c>
      <c r="P18" s="1" t="s">
        <v>17</v>
      </c>
      <c r="Q18" s="1" t="s">
        <v>17</v>
      </c>
      <c r="R18" s="1" t="s">
        <v>17</v>
      </c>
      <c r="S18" s="1" t="s">
        <v>17</v>
      </c>
      <c r="T18" s="1" t="s">
        <v>17</v>
      </c>
      <c r="U18" s="1" t="s">
        <v>17</v>
      </c>
      <c r="V18" s="1" t="s">
        <v>17</v>
      </c>
      <c r="W18" s="1" t="s">
        <v>17</v>
      </c>
      <c r="X18" s="1" t="s">
        <v>17</v>
      </c>
      <c r="Y18" s="164" t="s">
        <v>17</v>
      </c>
      <c r="Z18" s="1" t="s">
        <v>17</v>
      </c>
      <c r="AA18" s="1" t="s">
        <v>17</v>
      </c>
      <c r="AB18" s="1" t="s">
        <v>17</v>
      </c>
      <c r="AC18" s="1" t="s">
        <v>19</v>
      </c>
      <c r="AD18" s="1" t="s">
        <v>19</v>
      </c>
      <c r="AE18" s="1" t="s">
        <v>19</v>
      </c>
      <c r="AF18" s="1" t="s">
        <v>17</v>
      </c>
      <c r="AG18" s="1" t="s">
        <v>17</v>
      </c>
      <c r="AH18" s="1" t="s">
        <v>17</v>
      </c>
      <c r="AI18" s="1" t="s">
        <v>17</v>
      </c>
      <c r="AJ18" s="1" t="s">
        <v>17</v>
      </c>
      <c r="AK18" s="1" t="s">
        <v>17</v>
      </c>
      <c r="AL18" s="1" t="s">
        <v>17</v>
      </c>
      <c r="AM18" s="1" t="s">
        <v>17</v>
      </c>
      <c r="AN18" s="1" t="s">
        <v>17</v>
      </c>
      <c r="AO18" s="1" t="s">
        <v>17</v>
      </c>
      <c r="AP18" s="1" t="s">
        <v>17</v>
      </c>
      <c r="AQ18" s="1" t="s">
        <v>17</v>
      </c>
      <c r="AR18" s="1" t="s">
        <v>17</v>
      </c>
      <c r="AS18" s="1" t="s">
        <v>17</v>
      </c>
      <c r="AT18" s="1" t="s">
        <v>17</v>
      </c>
      <c r="AU18" s="1" t="s">
        <v>17</v>
      </c>
      <c r="AV18" s="1" t="s">
        <v>17</v>
      </c>
      <c r="AW18" s="1" t="s">
        <v>17</v>
      </c>
      <c r="AX18" s="1" t="s">
        <v>17</v>
      </c>
      <c r="AY18" s="1" t="s">
        <v>17</v>
      </c>
      <c r="AZ18" s="1" t="s">
        <v>17</v>
      </c>
      <c r="BA18" s="1" t="s">
        <v>17</v>
      </c>
      <c r="BB18" s="1" t="s">
        <v>17</v>
      </c>
      <c r="BC18" s="1" t="s">
        <v>17</v>
      </c>
      <c r="BD18" s="1" t="s">
        <v>17</v>
      </c>
      <c r="BE18" s="1" t="s">
        <v>19</v>
      </c>
      <c r="BF18" s="1" t="s">
        <v>19</v>
      </c>
      <c r="BG18" s="1" t="s">
        <v>17</v>
      </c>
      <c r="BH18" s="1" t="s">
        <v>19</v>
      </c>
      <c r="BI18" s="1" t="s">
        <v>17</v>
      </c>
      <c r="BJ18" s="1" t="s">
        <v>19</v>
      </c>
      <c r="BK18" s="1" t="s">
        <v>19</v>
      </c>
      <c r="BL18" s="1" t="s">
        <v>19</v>
      </c>
      <c r="BM18" s="1" t="s">
        <v>17</v>
      </c>
      <c r="BN18" s="1" t="s">
        <v>17</v>
      </c>
      <c r="BO18" s="1" t="s">
        <v>17</v>
      </c>
      <c r="BP18" s="1" t="s">
        <v>17</v>
      </c>
      <c r="BQ18" s="1" t="s">
        <v>17</v>
      </c>
      <c r="BR18" s="1" t="s">
        <v>17</v>
      </c>
      <c r="BS18" s="1" t="s">
        <v>17</v>
      </c>
      <c r="BT18" s="1" t="s">
        <v>17</v>
      </c>
      <c r="BU18" s="1" t="s">
        <v>17</v>
      </c>
      <c r="BV18" s="1" t="s">
        <v>17</v>
      </c>
    </row>
    <row r="19" spans="1:74" x14ac:dyDescent="0.25">
      <c r="B19" t="s">
        <v>11</v>
      </c>
      <c r="C19" s="1" t="s">
        <v>21</v>
      </c>
      <c r="D19" s="1">
        <v>1</v>
      </c>
      <c r="E19" s="1">
        <v>3</v>
      </c>
      <c r="F19" s="1">
        <v>1</v>
      </c>
      <c r="G19" s="1" t="s">
        <v>21</v>
      </c>
      <c r="H19" s="1">
        <v>1</v>
      </c>
      <c r="I19" s="1" t="s">
        <v>21</v>
      </c>
      <c r="J19" s="1">
        <v>2</v>
      </c>
      <c r="K19" s="1">
        <v>2</v>
      </c>
      <c r="L19" s="1">
        <v>1</v>
      </c>
      <c r="M19" s="1">
        <v>1</v>
      </c>
      <c r="N19" s="1">
        <v>1</v>
      </c>
      <c r="O19" s="1">
        <v>1</v>
      </c>
      <c r="P19" s="1">
        <v>1</v>
      </c>
      <c r="Q19" s="1">
        <v>2</v>
      </c>
      <c r="R19" s="1">
        <v>1</v>
      </c>
      <c r="S19" s="1">
        <v>1</v>
      </c>
      <c r="T19" s="1">
        <v>1</v>
      </c>
      <c r="U19" s="1">
        <v>1</v>
      </c>
      <c r="V19" s="1">
        <v>1</v>
      </c>
      <c r="W19" s="1">
        <v>1</v>
      </c>
      <c r="X19" s="1">
        <v>1</v>
      </c>
      <c r="Y19" s="164">
        <v>1</v>
      </c>
      <c r="Z19" s="1">
        <v>3</v>
      </c>
      <c r="AA19" s="1">
        <v>3</v>
      </c>
      <c r="AB19" s="1">
        <v>3</v>
      </c>
      <c r="AC19" s="1">
        <v>1</v>
      </c>
      <c r="AD19" s="1">
        <v>1</v>
      </c>
      <c r="AE19" s="1">
        <v>1</v>
      </c>
      <c r="AF19" s="1">
        <v>1</v>
      </c>
      <c r="AG19" s="1">
        <v>1</v>
      </c>
      <c r="AH19" s="1">
        <v>1</v>
      </c>
      <c r="AI19" s="1">
        <v>2</v>
      </c>
      <c r="AJ19" s="1">
        <v>2</v>
      </c>
      <c r="AK19" s="1">
        <v>1</v>
      </c>
      <c r="AL19" s="1">
        <v>1</v>
      </c>
      <c r="AM19" s="1">
        <v>1</v>
      </c>
      <c r="AN19" s="1">
        <v>1</v>
      </c>
      <c r="AO19" s="1">
        <v>1</v>
      </c>
      <c r="AP19" s="1">
        <v>1</v>
      </c>
      <c r="AQ19" s="1">
        <v>1</v>
      </c>
      <c r="AR19" s="1">
        <v>1</v>
      </c>
      <c r="AS19" s="1">
        <v>1</v>
      </c>
      <c r="AT19" s="1">
        <v>1</v>
      </c>
      <c r="AU19" s="1">
        <v>1</v>
      </c>
      <c r="AV19" s="1">
        <v>2</v>
      </c>
      <c r="AW19" s="1">
        <v>2</v>
      </c>
      <c r="AX19" s="1">
        <v>1</v>
      </c>
      <c r="AY19" s="1">
        <v>3</v>
      </c>
      <c r="AZ19" s="1">
        <v>1</v>
      </c>
      <c r="BA19" s="1">
        <v>1</v>
      </c>
      <c r="BB19" s="1">
        <v>1</v>
      </c>
      <c r="BC19" s="1">
        <v>1</v>
      </c>
      <c r="BD19" s="1" t="s">
        <v>21</v>
      </c>
      <c r="BE19" s="1">
        <v>1</v>
      </c>
      <c r="BF19" s="1">
        <v>1</v>
      </c>
      <c r="BG19" s="1">
        <v>1</v>
      </c>
      <c r="BH19" s="1">
        <v>1</v>
      </c>
      <c r="BI19" s="1">
        <v>1</v>
      </c>
      <c r="BJ19" s="1">
        <v>1</v>
      </c>
      <c r="BK19" s="1">
        <v>1</v>
      </c>
      <c r="BL19" s="1">
        <v>1</v>
      </c>
      <c r="BM19" s="1">
        <v>1</v>
      </c>
      <c r="BN19" s="1">
        <v>1</v>
      </c>
      <c r="BO19" s="1">
        <v>2</v>
      </c>
      <c r="BP19" s="1">
        <v>2</v>
      </c>
      <c r="BQ19" s="1">
        <v>3</v>
      </c>
      <c r="BR19" s="1">
        <v>3</v>
      </c>
      <c r="BS19" s="1">
        <v>2</v>
      </c>
      <c r="BT19" s="1">
        <v>2</v>
      </c>
      <c r="BU19" s="1">
        <v>3</v>
      </c>
      <c r="BV19" s="1">
        <v>3</v>
      </c>
    </row>
    <row r="20" spans="1:74" x14ac:dyDescent="0.25">
      <c r="B20" t="s">
        <v>12</v>
      </c>
      <c r="C20" s="1" t="s">
        <v>20</v>
      </c>
      <c r="D20" s="1" t="s">
        <v>20</v>
      </c>
      <c r="E20" s="1">
        <v>30</v>
      </c>
      <c r="F20" s="1">
        <v>7</v>
      </c>
      <c r="G20" s="1" t="s">
        <v>20</v>
      </c>
      <c r="H20" s="1" t="s">
        <v>20</v>
      </c>
      <c r="I20" s="1">
        <v>15</v>
      </c>
      <c r="J20" s="1">
        <v>7</v>
      </c>
      <c r="K20" s="1">
        <v>19</v>
      </c>
      <c r="L20" s="1" t="s">
        <v>22</v>
      </c>
      <c r="M20" s="1">
        <v>14</v>
      </c>
      <c r="N20" s="1">
        <v>4</v>
      </c>
      <c r="O20" s="1">
        <v>6</v>
      </c>
      <c r="P20" s="1">
        <v>14</v>
      </c>
      <c r="Q20" s="1" t="s">
        <v>23</v>
      </c>
      <c r="R20" s="1">
        <v>9</v>
      </c>
      <c r="S20" s="1">
        <v>9</v>
      </c>
      <c r="T20" s="1">
        <v>6</v>
      </c>
      <c r="U20" s="1">
        <v>14</v>
      </c>
      <c r="V20" s="1">
        <v>7</v>
      </c>
      <c r="W20" s="1">
        <v>7</v>
      </c>
      <c r="X20" s="1">
        <v>9</v>
      </c>
      <c r="Y20" s="164">
        <v>4</v>
      </c>
      <c r="Z20" s="1">
        <v>25</v>
      </c>
      <c r="AA20" s="1">
        <v>44</v>
      </c>
      <c r="AB20" s="1">
        <v>100</v>
      </c>
      <c r="AC20" s="1">
        <v>1</v>
      </c>
      <c r="AD20" s="1">
        <v>4</v>
      </c>
      <c r="AE20" s="1">
        <v>2</v>
      </c>
      <c r="AF20" s="1">
        <v>4</v>
      </c>
      <c r="AG20" s="1">
        <v>4</v>
      </c>
      <c r="AH20" s="1">
        <v>4</v>
      </c>
      <c r="AI20" s="1">
        <v>20</v>
      </c>
      <c r="AJ20" s="1">
        <v>24</v>
      </c>
      <c r="AK20" s="1">
        <v>4</v>
      </c>
      <c r="AL20" s="1">
        <v>6</v>
      </c>
      <c r="AM20" s="1">
        <v>6</v>
      </c>
      <c r="AN20" s="1">
        <v>13</v>
      </c>
      <c r="AO20" s="1">
        <v>11</v>
      </c>
      <c r="AP20" s="1">
        <v>5</v>
      </c>
      <c r="AQ20" s="1">
        <v>10</v>
      </c>
      <c r="AR20" s="1">
        <v>4</v>
      </c>
      <c r="AS20" s="1">
        <v>7</v>
      </c>
      <c r="AT20" s="1">
        <v>6</v>
      </c>
      <c r="AU20" s="1">
        <v>8</v>
      </c>
      <c r="AV20" s="1">
        <v>12</v>
      </c>
      <c r="AW20" s="1">
        <v>24</v>
      </c>
      <c r="AX20" s="1">
        <v>0</v>
      </c>
      <c r="AY20" s="1">
        <v>8</v>
      </c>
      <c r="AZ20" s="1">
        <v>4</v>
      </c>
      <c r="BA20" s="1">
        <v>4</v>
      </c>
      <c r="BB20" s="1">
        <v>4</v>
      </c>
      <c r="BC20" s="1">
        <v>7</v>
      </c>
      <c r="BD20" s="1" t="s">
        <v>20</v>
      </c>
      <c r="BE20" s="1">
        <v>1</v>
      </c>
      <c r="BF20" s="1">
        <v>3</v>
      </c>
      <c r="BG20" s="1">
        <v>4</v>
      </c>
      <c r="BH20" s="1">
        <v>3</v>
      </c>
      <c r="BI20" s="1">
        <v>4</v>
      </c>
      <c r="BJ20" s="1">
        <v>1</v>
      </c>
      <c r="BK20" s="1">
        <v>2</v>
      </c>
      <c r="BL20" s="1">
        <v>1</v>
      </c>
      <c r="BM20" s="1" t="s">
        <v>22</v>
      </c>
      <c r="BN20" s="1" t="s">
        <v>22</v>
      </c>
      <c r="BO20" s="1">
        <v>12</v>
      </c>
      <c r="BP20" s="1">
        <v>16</v>
      </c>
      <c r="BQ20" s="1">
        <v>28</v>
      </c>
      <c r="BR20" s="1">
        <v>3</v>
      </c>
      <c r="BS20" s="1">
        <v>12</v>
      </c>
      <c r="BT20" s="1">
        <v>19</v>
      </c>
      <c r="BU20" s="1">
        <v>12</v>
      </c>
      <c r="BV20" s="1">
        <v>55</v>
      </c>
    </row>
    <row r="22" spans="1:74" x14ac:dyDescent="0.25">
      <c r="B22" t="s">
        <v>168</v>
      </c>
    </row>
    <row r="23" spans="1:74" x14ac:dyDescent="0.25">
      <c r="B23" t="s">
        <v>169</v>
      </c>
    </row>
    <row r="25" spans="1:74" x14ac:dyDescent="0.25">
      <c r="B25" t="s">
        <v>176</v>
      </c>
    </row>
    <row r="26" spans="1:74" x14ac:dyDescent="0.25">
      <c r="B26" t="s">
        <v>177</v>
      </c>
    </row>
    <row r="28" spans="1:74" x14ac:dyDescent="0.25">
      <c r="B28" t="s">
        <v>179</v>
      </c>
    </row>
    <row r="29" spans="1:74" x14ac:dyDescent="0.25">
      <c r="B29" t="s">
        <v>178</v>
      </c>
    </row>
    <row r="30" spans="1:74" x14ac:dyDescent="0.25">
      <c r="B30" t="s">
        <v>180</v>
      </c>
    </row>
    <row r="32" spans="1:74" x14ac:dyDescent="0.25">
      <c r="B32" t="s">
        <v>99</v>
      </c>
    </row>
    <row r="33" spans="2:2" x14ac:dyDescent="0.25">
      <c r="B33" t="s">
        <v>118</v>
      </c>
    </row>
  </sheetData>
  <sheetProtection sheet="1" objects="1" scenarios="1"/>
  <mergeCells count="4">
    <mergeCell ref="A17:A18"/>
    <mergeCell ref="A7:A10"/>
    <mergeCell ref="A11:A13"/>
    <mergeCell ref="A14:A16"/>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R938"/>
  <sheetViews>
    <sheetView topLeftCell="A845" workbookViewId="0">
      <selection activeCell="H870" sqref="A1:XFD1048576"/>
    </sheetView>
  </sheetViews>
  <sheetFormatPr defaultRowHeight="13.2" x14ac:dyDescent="0.25"/>
  <sheetData>
    <row r="1" spans="1:4" x14ac:dyDescent="0.25">
      <c r="A1" t="s">
        <v>204</v>
      </c>
    </row>
    <row r="2" spans="1:4" x14ac:dyDescent="0.25">
      <c r="A2" t="s">
        <v>205</v>
      </c>
    </row>
    <row r="3" spans="1:4" x14ac:dyDescent="0.25">
      <c r="A3" t="s">
        <v>206</v>
      </c>
    </row>
    <row r="4" spans="1:4" x14ac:dyDescent="0.25">
      <c r="B4" t="str">
        <f>"&lt;name&gt;"&amp;Data!D8&amp;" Heliport&lt;/name&gt;"</f>
        <v>&lt;name&gt;TYPE HELIPORT NAME HERE Heliport&lt;/name&gt;</v>
      </c>
    </row>
    <row r="5" spans="1:4" x14ac:dyDescent="0.25">
      <c r="B5" t="s">
        <v>347</v>
      </c>
    </row>
    <row r="6" spans="1:4" x14ac:dyDescent="0.25">
      <c r="C6" t="s">
        <v>223</v>
      </c>
    </row>
    <row r="7" spans="1:4" x14ac:dyDescent="0.25">
      <c r="D7" t="s">
        <v>224</v>
      </c>
    </row>
    <row r="8" spans="1:4" x14ac:dyDescent="0.25">
      <c r="D8" t="s">
        <v>348</v>
      </c>
    </row>
    <row r="9" spans="1:4" x14ac:dyDescent="0.25">
      <c r="C9" t="s">
        <v>226</v>
      </c>
    </row>
    <row r="10" spans="1:4" x14ac:dyDescent="0.25">
      <c r="C10" t="s">
        <v>223</v>
      </c>
    </row>
    <row r="11" spans="1:4" x14ac:dyDescent="0.25">
      <c r="D11" t="s">
        <v>227</v>
      </c>
    </row>
    <row r="12" spans="1:4" x14ac:dyDescent="0.25">
      <c r="D12" t="s">
        <v>349</v>
      </c>
    </row>
    <row r="13" spans="1:4" x14ac:dyDescent="0.25">
      <c r="C13" t="s">
        <v>226</v>
      </c>
    </row>
    <row r="14" spans="1:4" x14ac:dyDescent="0.25">
      <c r="B14" t="s">
        <v>229</v>
      </c>
    </row>
    <row r="15" spans="1:4" x14ac:dyDescent="0.25">
      <c r="B15" t="s">
        <v>350</v>
      </c>
    </row>
    <row r="16" spans="1:4" x14ac:dyDescent="0.25">
      <c r="C16" t="s">
        <v>208</v>
      </c>
    </row>
    <row r="17" spans="2:5" x14ac:dyDescent="0.25">
      <c r="D17" t="s">
        <v>230</v>
      </c>
    </row>
    <row r="18" spans="2:5" x14ac:dyDescent="0.25">
      <c r="D18" t="s">
        <v>210</v>
      </c>
    </row>
    <row r="19" spans="2:5" x14ac:dyDescent="0.25">
      <c r="E19" t="s">
        <v>211</v>
      </c>
    </row>
    <row r="20" spans="2:5" x14ac:dyDescent="0.25">
      <c r="D20" t="s">
        <v>212</v>
      </c>
    </row>
    <row r="21" spans="2:5" x14ac:dyDescent="0.25">
      <c r="D21" t="s">
        <v>213</v>
      </c>
    </row>
    <row r="22" spans="2:5" x14ac:dyDescent="0.25">
      <c r="C22" t="s">
        <v>214</v>
      </c>
    </row>
    <row r="23" spans="2:5" x14ac:dyDescent="0.25">
      <c r="C23" t="s">
        <v>215</v>
      </c>
    </row>
    <row r="24" spans="2:5" x14ac:dyDescent="0.25">
      <c r="D24" t="s">
        <v>216</v>
      </c>
    </row>
    <row r="25" spans="2:5" x14ac:dyDescent="0.25">
      <c r="C25" t="s">
        <v>217</v>
      </c>
    </row>
    <row r="26" spans="2:5" x14ac:dyDescent="0.25">
      <c r="C26" t="s">
        <v>218</v>
      </c>
    </row>
    <row r="27" spans="2:5" x14ac:dyDescent="0.25">
      <c r="D27" t="s">
        <v>219</v>
      </c>
    </row>
    <row r="28" spans="2:5" x14ac:dyDescent="0.25">
      <c r="C28" t="s">
        <v>220</v>
      </c>
    </row>
    <row r="29" spans="2:5" x14ac:dyDescent="0.25">
      <c r="B29" t="s">
        <v>221</v>
      </c>
    </row>
    <row r="30" spans="2:5" x14ac:dyDescent="0.25">
      <c r="B30" t="s">
        <v>351</v>
      </c>
    </row>
    <row r="31" spans="2:5" x14ac:dyDescent="0.25">
      <c r="C31" t="s">
        <v>208</v>
      </c>
    </row>
    <row r="32" spans="2:5" x14ac:dyDescent="0.25">
      <c r="D32" t="s">
        <v>209</v>
      </c>
    </row>
    <row r="33" spans="2:5" x14ac:dyDescent="0.25">
      <c r="D33" t="s">
        <v>210</v>
      </c>
    </row>
    <row r="34" spans="2:5" x14ac:dyDescent="0.25">
      <c r="E34" t="s">
        <v>211</v>
      </c>
    </row>
    <row r="35" spans="2:5" x14ac:dyDescent="0.25">
      <c r="D35" t="s">
        <v>212</v>
      </c>
    </row>
    <row r="36" spans="2:5" x14ac:dyDescent="0.25">
      <c r="D36" t="s">
        <v>213</v>
      </c>
    </row>
    <row r="37" spans="2:5" x14ac:dyDescent="0.25">
      <c r="C37" t="s">
        <v>214</v>
      </c>
    </row>
    <row r="38" spans="2:5" x14ac:dyDescent="0.25">
      <c r="C38" t="s">
        <v>215</v>
      </c>
    </row>
    <row r="39" spans="2:5" x14ac:dyDescent="0.25">
      <c r="D39" t="s">
        <v>239</v>
      </c>
    </row>
    <row r="40" spans="2:5" x14ac:dyDescent="0.25">
      <c r="C40" t="s">
        <v>217</v>
      </c>
    </row>
    <row r="41" spans="2:5" x14ac:dyDescent="0.25">
      <c r="C41" t="s">
        <v>218</v>
      </c>
    </row>
    <row r="42" spans="2:5" x14ac:dyDescent="0.25">
      <c r="D42" t="s">
        <v>240</v>
      </c>
    </row>
    <row r="43" spans="2:5" x14ac:dyDescent="0.25">
      <c r="C43" t="s">
        <v>220</v>
      </c>
    </row>
    <row r="44" spans="2:5" x14ac:dyDescent="0.25">
      <c r="B44" t="s">
        <v>221</v>
      </c>
    </row>
    <row r="45" spans="2:5" x14ac:dyDescent="0.25">
      <c r="B45" t="s">
        <v>352</v>
      </c>
    </row>
    <row r="46" spans="2:5" x14ac:dyDescent="0.25">
      <c r="C46" t="s">
        <v>208</v>
      </c>
    </row>
    <row r="47" spans="2:5" x14ac:dyDescent="0.25">
      <c r="D47" t="s">
        <v>353</v>
      </c>
    </row>
    <row r="48" spans="2:5" x14ac:dyDescent="0.25">
      <c r="D48" t="s">
        <v>210</v>
      </c>
    </row>
    <row r="49" spans="2:5" x14ac:dyDescent="0.25">
      <c r="E49" t="s">
        <v>354</v>
      </c>
    </row>
    <row r="50" spans="2:5" x14ac:dyDescent="0.25">
      <c r="D50" t="s">
        <v>212</v>
      </c>
    </row>
    <row r="51" spans="2:5" x14ac:dyDescent="0.25">
      <c r="D51" t="s">
        <v>355</v>
      </c>
    </row>
    <row r="52" spans="2:5" x14ac:dyDescent="0.25">
      <c r="C52" t="s">
        <v>214</v>
      </c>
    </row>
    <row r="53" spans="2:5" x14ac:dyDescent="0.25">
      <c r="C53" t="s">
        <v>231</v>
      </c>
    </row>
    <row r="54" spans="2:5" x14ac:dyDescent="0.25">
      <c r="C54" t="s">
        <v>232</v>
      </c>
    </row>
    <row r="55" spans="2:5" x14ac:dyDescent="0.25">
      <c r="B55" t="s">
        <v>221</v>
      </c>
    </row>
    <row r="56" spans="2:5" x14ac:dyDescent="0.25">
      <c r="B56" t="s">
        <v>356</v>
      </c>
    </row>
    <row r="57" spans="2:5" x14ac:dyDescent="0.25">
      <c r="C57" t="s">
        <v>208</v>
      </c>
    </row>
    <row r="58" spans="2:5" x14ac:dyDescent="0.25">
      <c r="D58" t="s">
        <v>230</v>
      </c>
    </row>
    <row r="59" spans="2:5" x14ac:dyDescent="0.25">
      <c r="D59" t="s">
        <v>210</v>
      </c>
    </row>
    <row r="60" spans="2:5" x14ac:dyDescent="0.25">
      <c r="E60" t="s">
        <v>211</v>
      </c>
    </row>
    <row r="61" spans="2:5" x14ac:dyDescent="0.25">
      <c r="D61" t="s">
        <v>212</v>
      </c>
    </row>
    <row r="62" spans="2:5" x14ac:dyDescent="0.25">
      <c r="D62" t="s">
        <v>213</v>
      </c>
    </row>
    <row r="63" spans="2:5" x14ac:dyDescent="0.25">
      <c r="C63" t="s">
        <v>214</v>
      </c>
    </row>
    <row r="64" spans="2:5" x14ac:dyDescent="0.25">
      <c r="C64" t="s">
        <v>215</v>
      </c>
    </row>
    <row r="65" spans="2:5" x14ac:dyDescent="0.25">
      <c r="D65" t="s">
        <v>216</v>
      </c>
    </row>
    <row r="66" spans="2:5" x14ac:dyDescent="0.25">
      <c r="C66" t="s">
        <v>217</v>
      </c>
    </row>
    <row r="67" spans="2:5" x14ac:dyDescent="0.25">
      <c r="C67" t="s">
        <v>218</v>
      </c>
    </row>
    <row r="68" spans="2:5" x14ac:dyDescent="0.25">
      <c r="D68" t="s">
        <v>219</v>
      </c>
    </row>
    <row r="69" spans="2:5" x14ac:dyDescent="0.25">
      <c r="C69" t="s">
        <v>220</v>
      </c>
    </row>
    <row r="70" spans="2:5" x14ac:dyDescent="0.25">
      <c r="B70" t="s">
        <v>221</v>
      </c>
    </row>
    <row r="71" spans="2:5" x14ac:dyDescent="0.25">
      <c r="B71" t="s">
        <v>207</v>
      </c>
    </row>
    <row r="72" spans="2:5" x14ac:dyDescent="0.25">
      <c r="C72" t="s">
        <v>208</v>
      </c>
    </row>
    <row r="73" spans="2:5" x14ac:dyDescent="0.25">
      <c r="D73" t="s">
        <v>209</v>
      </c>
    </row>
    <row r="74" spans="2:5" x14ac:dyDescent="0.25">
      <c r="D74" t="s">
        <v>210</v>
      </c>
    </row>
    <row r="75" spans="2:5" x14ac:dyDescent="0.25">
      <c r="E75" t="s">
        <v>211</v>
      </c>
    </row>
    <row r="76" spans="2:5" x14ac:dyDescent="0.25">
      <c r="D76" t="s">
        <v>212</v>
      </c>
    </row>
    <row r="77" spans="2:5" x14ac:dyDescent="0.25">
      <c r="D77" t="s">
        <v>213</v>
      </c>
    </row>
    <row r="78" spans="2:5" x14ac:dyDescent="0.25">
      <c r="C78" t="s">
        <v>214</v>
      </c>
    </row>
    <row r="79" spans="2:5" x14ac:dyDescent="0.25">
      <c r="C79" t="s">
        <v>215</v>
      </c>
    </row>
    <row r="80" spans="2:5" x14ac:dyDescent="0.25">
      <c r="D80" t="s">
        <v>216</v>
      </c>
    </row>
    <row r="81" spans="2:5" x14ac:dyDescent="0.25">
      <c r="C81" t="s">
        <v>217</v>
      </c>
    </row>
    <row r="82" spans="2:5" x14ac:dyDescent="0.25">
      <c r="C82" t="s">
        <v>218</v>
      </c>
    </row>
    <row r="83" spans="2:5" x14ac:dyDescent="0.25">
      <c r="D83" t="s">
        <v>216</v>
      </c>
    </row>
    <row r="84" spans="2:5" x14ac:dyDescent="0.25">
      <c r="C84" t="s">
        <v>220</v>
      </c>
    </row>
    <row r="85" spans="2:5" x14ac:dyDescent="0.25">
      <c r="B85" t="s">
        <v>221</v>
      </c>
    </row>
    <row r="86" spans="2:5" x14ac:dyDescent="0.25">
      <c r="B86" t="s">
        <v>357</v>
      </c>
    </row>
    <row r="87" spans="2:5" x14ac:dyDescent="0.25">
      <c r="C87" t="s">
        <v>208</v>
      </c>
    </row>
    <row r="88" spans="2:5" x14ac:dyDescent="0.25">
      <c r="D88" t="s">
        <v>209</v>
      </c>
    </row>
    <row r="89" spans="2:5" x14ac:dyDescent="0.25">
      <c r="D89" t="s">
        <v>210</v>
      </c>
    </row>
    <row r="90" spans="2:5" x14ac:dyDescent="0.25">
      <c r="E90" t="s">
        <v>211</v>
      </c>
    </row>
    <row r="91" spans="2:5" x14ac:dyDescent="0.25">
      <c r="D91" t="s">
        <v>212</v>
      </c>
    </row>
    <row r="92" spans="2:5" x14ac:dyDescent="0.25">
      <c r="D92" t="s">
        <v>213</v>
      </c>
    </row>
    <row r="93" spans="2:5" x14ac:dyDescent="0.25">
      <c r="C93" t="s">
        <v>214</v>
      </c>
    </row>
    <row r="94" spans="2:5" x14ac:dyDescent="0.25">
      <c r="C94" t="s">
        <v>215</v>
      </c>
    </row>
    <row r="95" spans="2:5" x14ac:dyDescent="0.25">
      <c r="D95" t="s">
        <v>216</v>
      </c>
    </row>
    <row r="96" spans="2:5" x14ac:dyDescent="0.25">
      <c r="C96" t="s">
        <v>217</v>
      </c>
    </row>
    <row r="97" spans="2:5" x14ac:dyDescent="0.25">
      <c r="C97" t="s">
        <v>218</v>
      </c>
    </row>
    <row r="98" spans="2:5" x14ac:dyDescent="0.25">
      <c r="D98" t="s">
        <v>219</v>
      </c>
    </row>
    <row r="99" spans="2:5" x14ac:dyDescent="0.25">
      <c r="C99" t="s">
        <v>220</v>
      </c>
    </row>
    <row r="100" spans="2:5" x14ac:dyDescent="0.25">
      <c r="B100" t="s">
        <v>221</v>
      </c>
    </row>
    <row r="101" spans="2:5" x14ac:dyDescent="0.25">
      <c r="B101" t="s">
        <v>358</v>
      </c>
    </row>
    <row r="102" spans="2:5" x14ac:dyDescent="0.25">
      <c r="C102" t="s">
        <v>208</v>
      </c>
    </row>
    <row r="103" spans="2:5" x14ac:dyDescent="0.25">
      <c r="D103" t="s">
        <v>230</v>
      </c>
    </row>
    <row r="104" spans="2:5" x14ac:dyDescent="0.25">
      <c r="D104" t="s">
        <v>210</v>
      </c>
    </row>
    <row r="105" spans="2:5" x14ac:dyDescent="0.25">
      <c r="E105" t="s">
        <v>211</v>
      </c>
    </row>
    <row r="106" spans="2:5" x14ac:dyDescent="0.25">
      <c r="D106" t="s">
        <v>212</v>
      </c>
    </row>
    <row r="107" spans="2:5" x14ac:dyDescent="0.25">
      <c r="D107" t="s">
        <v>213</v>
      </c>
    </row>
    <row r="108" spans="2:5" x14ac:dyDescent="0.25">
      <c r="C108" t="s">
        <v>214</v>
      </c>
    </row>
    <row r="109" spans="2:5" x14ac:dyDescent="0.25">
      <c r="C109" t="s">
        <v>215</v>
      </c>
    </row>
    <row r="110" spans="2:5" x14ac:dyDescent="0.25">
      <c r="D110" t="s">
        <v>216</v>
      </c>
    </row>
    <row r="111" spans="2:5" x14ac:dyDescent="0.25">
      <c r="C111" t="s">
        <v>217</v>
      </c>
    </row>
    <row r="112" spans="2:5" x14ac:dyDescent="0.25">
      <c r="C112" t="s">
        <v>218</v>
      </c>
    </row>
    <row r="113" spans="2:5" x14ac:dyDescent="0.25">
      <c r="D113" t="s">
        <v>219</v>
      </c>
    </row>
    <row r="114" spans="2:5" x14ac:dyDescent="0.25">
      <c r="C114" t="s">
        <v>220</v>
      </c>
    </row>
    <row r="115" spans="2:5" x14ac:dyDescent="0.25">
      <c r="B115" t="s">
        <v>221</v>
      </c>
    </row>
    <row r="116" spans="2:5" x14ac:dyDescent="0.25">
      <c r="B116" t="s">
        <v>359</v>
      </c>
    </row>
    <row r="117" spans="2:5" x14ac:dyDescent="0.25">
      <c r="C117" t="s">
        <v>208</v>
      </c>
    </row>
    <row r="118" spans="2:5" x14ac:dyDescent="0.25">
      <c r="D118" t="s">
        <v>209</v>
      </c>
    </row>
    <row r="119" spans="2:5" x14ac:dyDescent="0.25">
      <c r="D119" t="s">
        <v>210</v>
      </c>
    </row>
    <row r="120" spans="2:5" x14ac:dyDescent="0.25">
      <c r="E120" t="s">
        <v>211</v>
      </c>
    </row>
    <row r="121" spans="2:5" x14ac:dyDescent="0.25">
      <c r="D121" t="s">
        <v>212</v>
      </c>
    </row>
    <row r="122" spans="2:5" x14ac:dyDescent="0.25">
      <c r="D122" t="s">
        <v>213</v>
      </c>
    </row>
    <row r="123" spans="2:5" x14ac:dyDescent="0.25">
      <c r="C123" t="s">
        <v>214</v>
      </c>
    </row>
    <row r="124" spans="2:5" x14ac:dyDescent="0.25">
      <c r="C124" t="s">
        <v>215</v>
      </c>
    </row>
    <row r="125" spans="2:5" x14ac:dyDescent="0.25">
      <c r="D125" t="s">
        <v>216</v>
      </c>
    </row>
    <row r="126" spans="2:5" x14ac:dyDescent="0.25">
      <c r="C126" t="s">
        <v>217</v>
      </c>
    </row>
    <row r="127" spans="2:5" x14ac:dyDescent="0.25">
      <c r="C127" t="s">
        <v>218</v>
      </c>
    </row>
    <row r="128" spans="2:5" x14ac:dyDescent="0.25">
      <c r="D128" t="s">
        <v>219</v>
      </c>
    </row>
    <row r="129" spans="2:4" x14ac:dyDescent="0.25">
      <c r="C129" t="s">
        <v>220</v>
      </c>
    </row>
    <row r="130" spans="2:4" x14ac:dyDescent="0.25">
      <c r="B130" t="s">
        <v>221</v>
      </c>
    </row>
    <row r="131" spans="2:4" x14ac:dyDescent="0.25">
      <c r="B131" t="s">
        <v>222</v>
      </c>
    </row>
    <row r="132" spans="2:4" x14ac:dyDescent="0.25">
      <c r="C132" t="s">
        <v>223</v>
      </c>
    </row>
    <row r="133" spans="2:4" x14ac:dyDescent="0.25">
      <c r="D133" t="s">
        <v>224</v>
      </c>
    </row>
    <row r="134" spans="2:4" x14ac:dyDescent="0.25">
      <c r="D134" t="s">
        <v>348</v>
      </c>
    </row>
    <row r="135" spans="2:4" x14ac:dyDescent="0.25">
      <c r="C135" t="s">
        <v>226</v>
      </c>
    </row>
    <row r="136" spans="2:4" x14ac:dyDescent="0.25">
      <c r="C136" t="s">
        <v>223</v>
      </c>
    </row>
    <row r="137" spans="2:4" x14ac:dyDescent="0.25">
      <c r="D137" t="s">
        <v>227</v>
      </c>
    </row>
    <row r="138" spans="2:4" x14ac:dyDescent="0.25">
      <c r="D138" t="s">
        <v>349</v>
      </c>
    </row>
    <row r="139" spans="2:4" x14ac:dyDescent="0.25">
      <c r="C139" t="s">
        <v>226</v>
      </c>
    </row>
    <row r="140" spans="2:4" x14ac:dyDescent="0.25">
      <c r="B140" t="s">
        <v>229</v>
      </c>
    </row>
    <row r="141" spans="2:4" x14ac:dyDescent="0.25">
      <c r="B141" t="s">
        <v>360</v>
      </c>
    </row>
    <row r="142" spans="2:4" x14ac:dyDescent="0.25">
      <c r="C142" t="s">
        <v>208</v>
      </c>
    </row>
    <row r="143" spans="2:4" x14ac:dyDescent="0.25">
      <c r="D143" t="s">
        <v>209</v>
      </c>
    </row>
    <row r="144" spans="2:4" x14ac:dyDescent="0.25">
      <c r="D144" t="s">
        <v>210</v>
      </c>
    </row>
    <row r="145" spans="2:5" x14ac:dyDescent="0.25">
      <c r="E145" t="s">
        <v>211</v>
      </c>
    </row>
    <row r="146" spans="2:5" x14ac:dyDescent="0.25">
      <c r="D146" t="s">
        <v>212</v>
      </c>
    </row>
    <row r="147" spans="2:5" x14ac:dyDescent="0.25">
      <c r="D147" t="s">
        <v>213</v>
      </c>
    </row>
    <row r="148" spans="2:5" x14ac:dyDescent="0.25">
      <c r="C148" t="s">
        <v>214</v>
      </c>
    </row>
    <row r="149" spans="2:5" x14ac:dyDescent="0.25">
      <c r="C149" t="s">
        <v>215</v>
      </c>
    </row>
    <row r="150" spans="2:5" x14ac:dyDescent="0.25">
      <c r="D150" t="s">
        <v>216</v>
      </c>
    </row>
    <row r="151" spans="2:5" x14ac:dyDescent="0.25">
      <c r="C151" t="s">
        <v>217</v>
      </c>
    </row>
    <row r="152" spans="2:5" x14ac:dyDescent="0.25">
      <c r="C152" t="s">
        <v>218</v>
      </c>
    </row>
    <row r="153" spans="2:5" x14ac:dyDescent="0.25">
      <c r="D153" t="s">
        <v>219</v>
      </c>
    </row>
    <row r="154" spans="2:5" x14ac:dyDescent="0.25">
      <c r="C154" t="s">
        <v>220</v>
      </c>
    </row>
    <row r="155" spans="2:5" x14ac:dyDescent="0.25">
      <c r="B155" t="s">
        <v>221</v>
      </c>
    </row>
    <row r="156" spans="2:5" x14ac:dyDescent="0.25">
      <c r="B156" t="s">
        <v>361</v>
      </c>
    </row>
    <row r="157" spans="2:5" x14ac:dyDescent="0.25">
      <c r="C157" t="s">
        <v>208</v>
      </c>
    </row>
    <row r="158" spans="2:5" x14ac:dyDescent="0.25">
      <c r="D158" t="s">
        <v>362</v>
      </c>
    </row>
    <row r="159" spans="2:5" x14ac:dyDescent="0.25">
      <c r="D159" t="s">
        <v>210</v>
      </c>
    </row>
    <row r="160" spans="2:5" x14ac:dyDescent="0.25">
      <c r="E160" t="s">
        <v>354</v>
      </c>
    </row>
    <row r="161" spans="2:5" x14ac:dyDescent="0.25">
      <c r="D161" t="s">
        <v>212</v>
      </c>
    </row>
    <row r="162" spans="2:5" x14ac:dyDescent="0.25">
      <c r="D162" t="s">
        <v>355</v>
      </c>
    </row>
    <row r="163" spans="2:5" x14ac:dyDescent="0.25">
      <c r="C163" t="s">
        <v>214</v>
      </c>
    </row>
    <row r="164" spans="2:5" x14ac:dyDescent="0.25">
      <c r="C164" t="s">
        <v>231</v>
      </c>
    </row>
    <row r="165" spans="2:5" x14ac:dyDescent="0.25">
      <c r="C165" t="s">
        <v>232</v>
      </c>
    </row>
    <row r="166" spans="2:5" x14ac:dyDescent="0.25">
      <c r="B166" t="s">
        <v>221</v>
      </c>
    </row>
    <row r="167" spans="2:5" x14ac:dyDescent="0.25">
      <c r="B167" t="s">
        <v>233</v>
      </c>
    </row>
    <row r="168" spans="2:5" x14ac:dyDescent="0.25">
      <c r="C168" t="s">
        <v>208</v>
      </c>
    </row>
    <row r="169" spans="2:5" x14ac:dyDescent="0.25">
      <c r="D169" t="s">
        <v>230</v>
      </c>
    </row>
    <row r="170" spans="2:5" x14ac:dyDescent="0.25">
      <c r="D170" t="s">
        <v>210</v>
      </c>
    </row>
    <row r="171" spans="2:5" x14ac:dyDescent="0.25">
      <c r="E171" t="s">
        <v>211</v>
      </c>
    </row>
    <row r="172" spans="2:5" x14ac:dyDescent="0.25">
      <c r="D172" t="s">
        <v>212</v>
      </c>
    </row>
    <row r="173" spans="2:5" x14ac:dyDescent="0.25">
      <c r="D173" t="s">
        <v>213</v>
      </c>
    </row>
    <row r="174" spans="2:5" x14ac:dyDescent="0.25">
      <c r="C174" t="s">
        <v>214</v>
      </c>
    </row>
    <row r="175" spans="2:5" x14ac:dyDescent="0.25">
      <c r="C175" t="s">
        <v>215</v>
      </c>
    </row>
    <row r="176" spans="2:5" x14ac:dyDescent="0.25">
      <c r="D176" t="s">
        <v>363</v>
      </c>
    </row>
    <row r="177" spans="2:5" x14ac:dyDescent="0.25">
      <c r="C177" t="s">
        <v>217</v>
      </c>
    </row>
    <row r="178" spans="2:5" x14ac:dyDescent="0.25">
      <c r="C178" t="s">
        <v>218</v>
      </c>
    </row>
    <row r="179" spans="2:5" x14ac:dyDescent="0.25">
      <c r="D179" t="s">
        <v>363</v>
      </c>
    </row>
    <row r="180" spans="2:5" x14ac:dyDescent="0.25">
      <c r="C180" t="s">
        <v>220</v>
      </c>
    </row>
    <row r="181" spans="2:5" x14ac:dyDescent="0.25">
      <c r="B181" t="s">
        <v>221</v>
      </c>
    </row>
    <row r="182" spans="2:5" x14ac:dyDescent="0.25">
      <c r="B182" t="s">
        <v>364</v>
      </c>
    </row>
    <row r="183" spans="2:5" x14ac:dyDescent="0.25">
      <c r="C183" t="s">
        <v>208</v>
      </c>
    </row>
    <row r="184" spans="2:5" x14ac:dyDescent="0.25">
      <c r="D184" t="s">
        <v>362</v>
      </c>
    </row>
    <row r="185" spans="2:5" x14ac:dyDescent="0.25">
      <c r="D185" t="s">
        <v>210</v>
      </c>
    </row>
    <row r="186" spans="2:5" x14ac:dyDescent="0.25">
      <c r="E186" t="s">
        <v>365</v>
      </c>
    </row>
    <row r="187" spans="2:5" x14ac:dyDescent="0.25">
      <c r="D187" t="s">
        <v>212</v>
      </c>
    </row>
    <row r="188" spans="2:5" x14ac:dyDescent="0.25">
      <c r="D188" t="s">
        <v>355</v>
      </c>
    </row>
    <row r="189" spans="2:5" x14ac:dyDescent="0.25">
      <c r="C189" t="s">
        <v>214</v>
      </c>
    </row>
    <row r="190" spans="2:5" x14ac:dyDescent="0.25">
      <c r="C190" t="s">
        <v>231</v>
      </c>
    </row>
    <row r="191" spans="2:5" x14ac:dyDescent="0.25">
      <c r="C191" t="s">
        <v>232</v>
      </c>
    </row>
    <row r="192" spans="2:5" x14ac:dyDescent="0.25">
      <c r="B192" t="s">
        <v>221</v>
      </c>
    </row>
    <row r="193" spans="2:4" x14ac:dyDescent="0.25">
      <c r="B193" t="s">
        <v>366</v>
      </c>
    </row>
    <row r="194" spans="2:4" x14ac:dyDescent="0.25">
      <c r="C194" t="s">
        <v>223</v>
      </c>
    </row>
    <row r="195" spans="2:4" x14ac:dyDescent="0.25">
      <c r="D195" t="s">
        <v>224</v>
      </c>
    </row>
    <row r="196" spans="2:4" x14ac:dyDescent="0.25">
      <c r="D196" t="s">
        <v>367</v>
      </c>
    </row>
    <row r="197" spans="2:4" x14ac:dyDescent="0.25">
      <c r="C197" t="s">
        <v>226</v>
      </c>
    </row>
    <row r="198" spans="2:4" x14ac:dyDescent="0.25">
      <c r="C198" t="s">
        <v>223</v>
      </c>
    </row>
    <row r="199" spans="2:4" x14ac:dyDescent="0.25">
      <c r="D199" t="s">
        <v>227</v>
      </c>
    </row>
    <row r="200" spans="2:4" x14ac:dyDescent="0.25">
      <c r="D200" t="s">
        <v>368</v>
      </c>
    </row>
    <row r="201" spans="2:4" x14ac:dyDescent="0.25">
      <c r="C201" t="s">
        <v>226</v>
      </c>
    </row>
    <row r="202" spans="2:4" x14ac:dyDescent="0.25">
      <c r="B202" t="s">
        <v>229</v>
      </c>
    </row>
    <row r="203" spans="2:4" x14ac:dyDescent="0.25">
      <c r="B203" t="s">
        <v>234</v>
      </c>
    </row>
    <row r="204" spans="2:4" x14ac:dyDescent="0.25">
      <c r="C204" t="s">
        <v>223</v>
      </c>
    </row>
    <row r="205" spans="2:4" x14ac:dyDescent="0.25">
      <c r="D205" t="s">
        <v>224</v>
      </c>
    </row>
    <row r="206" spans="2:4" x14ac:dyDescent="0.25">
      <c r="D206" t="s">
        <v>235</v>
      </c>
    </row>
    <row r="207" spans="2:4" x14ac:dyDescent="0.25">
      <c r="C207" t="s">
        <v>226</v>
      </c>
    </row>
    <row r="208" spans="2:4" x14ac:dyDescent="0.25">
      <c r="C208" t="s">
        <v>223</v>
      </c>
    </row>
    <row r="209" spans="2:5" x14ac:dyDescent="0.25">
      <c r="D209" t="s">
        <v>227</v>
      </c>
    </row>
    <row r="210" spans="2:5" x14ac:dyDescent="0.25">
      <c r="D210" t="s">
        <v>369</v>
      </c>
    </row>
    <row r="211" spans="2:5" x14ac:dyDescent="0.25">
      <c r="C211" t="s">
        <v>226</v>
      </c>
    </row>
    <row r="212" spans="2:5" x14ac:dyDescent="0.25">
      <c r="B212" t="s">
        <v>229</v>
      </c>
    </row>
    <row r="213" spans="2:5" x14ac:dyDescent="0.25">
      <c r="B213" t="s">
        <v>237</v>
      </c>
    </row>
    <row r="214" spans="2:5" x14ac:dyDescent="0.25">
      <c r="C214" t="s">
        <v>208</v>
      </c>
    </row>
    <row r="215" spans="2:5" x14ac:dyDescent="0.25">
      <c r="D215" t="s">
        <v>209</v>
      </c>
    </row>
    <row r="216" spans="2:5" x14ac:dyDescent="0.25">
      <c r="D216" t="s">
        <v>210</v>
      </c>
    </row>
    <row r="217" spans="2:5" x14ac:dyDescent="0.25">
      <c r="E217" t="s">
        <v>211</v>
      </c>
    </row>
    <row r="218" spans="2:5" x14ac:dyDescent="0.25">
      <c r="D218" t="s">
        <v>212</v>
      </c>
    </row>
    <row r="219" spans="2:5" x14ac:dyDescent="0.25">
      <c r="D219" t="s">
        <v>213</v>
      </c>
    </row>
    <row r="220" spans="2:5" x14ac:dyDescent="0.25">
      <c r="C220" t="s">
        <v>214</v>
      </c>
    </row>
    <row r="221" spans="2:5" x14ac:dyDescent="0.25">
      <c r="C221" t="s">
        <v>215</v>
      </c>
    </row>
    <row r="222" spans="2:5" x14ac:dyDescent="0.25">
      <c r="D222" t="s">
        <v>363</v>
      </c>
    </row>
    <row r="223" spans="2:5" x14ac:dyDescent="0.25">
      <c r="C223" t="s">
        <v>217</v>
      </c>
    </row>
    <row r="224" spans="2:5" x14ac:dyDescent="0.25">
      <c r="C224" t="s">
        <v>218</v>
      </c>
    </row>
    <row r="225" spans="2:5" x14ac:dyDescent="0.25">
      <c r="D225" t="s">
        <v>363</v>
      </c>
    </row>
    <row r="226" spans="2:5" x14ac:dyDescent="0.25">
      <c r="C226" t="s">
        <v>220</v>
      </c>
    </row>
    <row r="227" spans="2:5" x14ac:dyDescent="0.25">
      <c r="B227" t="s">
        <v>221</v>
      </c>
    </row>
    <row r="228" spans="2:5" x14ac:dyDescent="0.25">
      <c r="B228" t="s">
        <v>370</v>
      </c>
    </row>
    <row r="229" spans="2:5" x14ac:dyDescent="0.25">
      <c r="C229" t="s">
        <v>208</v>
      </c>
    </row>
    <row r="230" spans="2:5" x14ac:dyDescent="0.25">
      <c r="D230" t="s">
        <v>230</v>
      </c>
    </row>
    <row r="231" spans="2:5" x14ac:dyDescent="0.25">
      <c r="D231" t="s">
        <v>210</v>
      </c>
    </row>
    <row r="232" spans="2:5" x14ac:dyDescent="0.25">
      <c r="E232" t="s">
        <v>211</v>
      </c>
    </row>
    <row r="233" spans="2:5" x14ac:dyDescent="0.25">
      <c r="D233" t="s">
        <v>212</v>
      </c>
    </row>
    <row r="234" spans="2:5" x14ac:dyDescent="0.25">
      <c r="D234" t="s">
        <v>213</v>
      </c>
    </row>
    <row r="235" spans="2:5" x14ac:dyDescent="0.25">
      <c r="C235" t="s">
        <v>214</v>
      </c>
    </row>
    <row r="236" spans="2:5" x14ac:dyDescent="0.25">
      <c r="C236" t="s">
        <v>215</v>
      </c>
    </row>
    <row r="237" spans="2:5" x14ac:dyDescent="0.25">
      <c r="D237" t="s">
        <v>239</v>
      </c>
    </row>
    <row r="238" spans="2:5" x14ac:dyDescent="0.25">
      <c r="C238" t="s">
        <v>217</v>
      </c>
    </row>
    <row r="239" spans="2:5" x14ac:dyDescent="0.25">
      <c r="C239" t="s">
        <v>218</v>
      </c>
    </row>
    <row r="240" spans="2:5" x14ac:dyDescent="0.25">
      <c r="D240" t="s">
        <v>240</v>
      </c>
    </row>
    <row r="241" spans="2:4" x14ac:dyDescent="0.25">
      <c r="C241" t="s">
        <v>220</v>
      </c>
    </row>
    <row r="242" spans="2:4" x14ac:dyDescent="0.25">
      <c r="B242" t="s">
        <v>221</v>
      </c>
    </row>
    <row r="243" spans="2:4" x14ac:dyDescent="0.25">
      <c r="B243" t="s">
        <v>242</v>
      </c>
    </row>
    <row r="244" spans="2:4" x14ac:dyDescent="0.25">
      <c r="C244" t="s">
        <v>223</v>
      </c>
    </row>
    <row r="245" spans="2:4" x14ac:dyDescent="0.25">
      <c r="D245" t="s">
        <v>224</v>
      </c>
    </row>
    <row r="246" spans="2:4" x14ac:dyDescent="0.25">
      <c r="D246" t="s">
        <v>243</v>
      </c>
    </row>
    <row r="247" spans="2:4" x14ac:dyDescent="0.25">
      <c r="C247" t="s">
        <v>226</v>
      </c>
    </row>
    <row r="248" spans="2:4" x14ac:dyDescent="0.25">
      <c r="C248" t="s">
        <v>223</v>
      </c>
    </row>
    <row r="249" spans="2:4" x14ac:dyDescent="0.25">
      <c r="D249" t="s">
        <v>227</v>
      </c>
    </row>
    <row r="250" spans="2:4" x14ac:dyDescent="0.25">
      <c r="D250" t="s">
        <v>228</v>
      </c>
    </row>
    <row r="251" spans="2:4" x14ac:dyDescent="0.25">
      <c r="C251" t="s">
        <v>226</v>
      </c>
    </row>
    <row r="252" spans="2:4" x14ac:dyDescent="0.25">
      <c r="B252" t="s">
        <v>229</v>
      </c>
    </row>
    <row r="253" spans="2:4" x14ac:dyDescent="0.25">
      <c r="B253" t="s">
        <v>238</v>
      </c>
    </row>
    <row r="254" spans="2:4" x14ac:dyDescent="0.25">
      <c r="C254" t="s">
        <v>208</v>
      </c>
    </row>
    <row r="255" spans="2:4" x14ac:dyDescent="0.25">
      <c r="D255" t="s">
        <v>230</v>
      </c>
    </row>
    <row r="256" spans="2:4" x14ac:dyDescent="0.25">
      <c r="D256" t="s">
        <v>210</v>
      </c>
    </row>
    <row r="257" spans="2:5" x14ac:dyDescent="0.25">
      <c r="E257" t="s">
        <v>211</v>
      </c>
    </row>
    <row r="258" spans="2:5" x14ac:dyDescent="0.25">
      <c r="D258" t="s">
        <v>212</v>
      </c>
    </row>
    <row r="259" spans="2:5" x14ac:dyDescent="0.25">
      <c r="D259" t="s">
        <v>213</v>
      </c>
    </row>
    <row r="260" spans="2:5" x14ac:dyDescent="0.25">
      <c r="C260" t="s">
        <v>214</v>
      </c>
    </row>
    <row r="261" spans="2:5" x14ac:dyDescent="0.25">
      <c r="C261" t="s">
        <v>215</v>
      </c>
    </row>
    <row r="262" spans="2:5" x14ac:dyDescent="0.25">
      <c r="D262" t="s">
        <v>371</v>
      </c>
    </row>
    <row r="263" spans="2:5" x14ac:dyDescent="0.25">
      <c r="C263" t="s">
        <v>217</v>
      </c>
    </row>
    <row r="264" spans="2:5" x14ac:dyDescent="0.25">
      <c r="C264" t="s">
        <v>218</v>
      </c>
    </row>
    <row r="265" spans="2:5" x14ac:dyDescent="0.25">
      <c r="D265" t="s">
        <v>372</v>
      </c>
    </row>
    <row r="266" spans="2:5" x14ac:dyDescent="0.25">
      <c r="C266" t="s">
        <v>220</v>
      </c>
    </row>
    <row r="267" spans="2:5" x14ac:dyDescent="0.25">
      <c r="B267" t="s">
        <v>221</v>
      </c>
    </row>
    <row r="268" spans="2:5" x14ac:dyDescent="0.25">
      <c r="B268" t="s">
        <v>373</v>
      </c>
    </row>
    <row r="269" spans="2:5" x14ac:dyDescent="0.25">
      <c r="C269" t="s">
        <v>208</v>
      </c>
    </row>
    <row r="270" spans="2:5" x14ac:dyDescent="0.25">
      <c r="D270" t="s">
        <v>209</v>
      </c>
    </row>
    <row r="271" spans="2:5" x14ac:dyDescent="0.25">
      <c r="D271" t="s">
        <v>210</v>
      </c>
    </row>
    <row r="272" spans="2:5" x14ac:dyDescent="0.25">
      <c r="E272" t="s">
        <v>211</v>
      </c>
    </row>
    <row r="273" spans="2:5" x14ac:dyDescent="0.25">
      <c r="D273" t="s">
        <v>212</v>
      </c>
    </row>
    <row r="274" spans="2:5" x14ac:dyDescent="0.25">
      <c r="D274" t="s">
        <v>213</v>
      </c>
    </row>
    <row r="275" spans="2:5" x14ac:dyDescent="0.25">
      <c r="C275" t="s">
        <v>214</v>
      </c>
    </row>
    <row r="276" spans="2:5" x14ac:dyDescent="0.25">
      <c r="C276" t="s">
        <v>215</v>
      </c>
    </row>
    <row r="277" spans="2:5" x14ac:dyDescent="0.25">
      <c r="D277" t="s">
        <v>374</v>
      </c>
    </row>
    <row r="278" spans="2:5" x14ac:dyDescent="0.25">
      <c r="C278" t="s">
        <v>217</v>
      </c>
    </row>
    <row r="279" spans="2:5" x14ac:dyDescent="0.25">
      <c r="C279" t="s">
        <v>218</v>
      </c>
    </row>
    <row r="280" spans="2:5" x14ac:dyDescent="0.25">
      <c r="D280" t="s">
        <v>374</v>
      </c>
    </row>
    <row r="281" spans="2:5" x14ac:dyDescent="0.25">
      <c r="C281" t="s">
        <v>220</v>
      </c>
    </row>
    <row r="282" spans="2:5" x14ac:dyDescent="0.25">
      <c r="B282" t="s">
        <v>221</v>
      </c>
    </row>
    <row r="283" spans="2:5" x14ac:dyDescent="0.25">
      <c r="B283" t="s">
        <v>375</v>
      </c>
    </row>
    <row r="284" spans="2:5" x14ac:dyDescent="0.25">
      <c r="C284" t="s">
        <v>208</v>
      </c>
    </row>
    <row r="285" spans="2:5" x14ac:dyDescent="0.25">
      <c r="D285" t="s">
        <v>230</v>
      </c>
    </row>
    <row r="286" spans="2:5" x14ac:dyDescent="0.25">
      <c r="D286" t="s">
        <v>210</v>
      </c>
    </row>
    <row r="287" spans="2:5" x14ac:dyDescent="0.25">
      <c r="E287" t="s">
        <v>211</v>
      </c>
    </row>
    <row r="288" spans="2:5" x14ac:dyDescent="0.25">
      <c r="D288" t="s">
        <v>212</v>
      </c>
    </row>
    <row r="289" spans="2:4" x14ac:dyDescent="0.25">
      <c r="D289" t="s">
        <v>213</v>
      </c>
    </row>
    <row r="290" spans="2:4" x14ac:dyDescent="0.25">
      <c r="C290" t="s">
        <v>214</v>
      </c>
    </row>
    <row r="291" spans="2:4" x14ac:dyDescent="0.25">
      <c r="C291" t="s">
        <v>215</v>
      </c>
    </row>
    <row r="292" spans="2:4" x14ac:dyDescent="0.25">
      <c r="D292" t="s">
        <v>239</v>
      </c>
    </row>
    <row r="293" spans="2:4" x14ac:dyDescent="0.25">
      <c r="C293" t="s">
        <v>217</v>
      </c>
    </row>
    <row r="294" spans="2:4" x14ac:dyDescent="0.25">
      <c r="C294" t="s">
        <v>218</v>
      </c>
    </row>
    <row r="295" spans="2:4" x14ac:dyDescent="0.25">
      <c r="D295" t="s">
        <v>240</v>
      </c>
    </row>
    <row r="296" spans="2:4" x14ac:dyDescent="0.25">
      <c r="C296" t="s">
        <v>220</v>
      </c>
    </row>
    <row r="297" spans="2:4" x14ac:dyDescent="0.25">
      <c r="B297" t="s">
        <v>221</v>
      </c>
    </row>
    <row r="298" spans="2:4" x14ac:dyDescent="0.25">
      <c r="B298" t="s">
        <v>376</v>
      </c>
    </row>
    <row r="299" spans="2:4" x14ac:dyDescent="0.25">
      <c r="C299" t="s">
        <v>223</v>
      </c>
    </row>
    <row r="300" spans="2:4" x14ac:dyDescent="0.25">
      <c r="D300" t="s">
        <v>224</v>
      </c>
    </row>
    <row r="301" spans="2:4" x14ac:dyDescent="0.25">
      <c r="D301" t="s">
        <v>377</v>
      </c>
    </row>
    <row r="302" spans="2:4" x14ac:dyDescent="0.25">
      <c r="C302" t="s">
        <v>226</v>
      </c>
    </row>
    <row r="303" spans="2:4" x14ac:dyDescent="0.25">
      <c r="C303" t="s">
        <v>223</v>
      </c>
    </row>
    <row r="304" spans="2:4" x14ac:dyDescent="0.25">
      <c r="D304" t="s">
        <v>227</v>
      </c>
    </row>
    <row r="305" spans="2:5" x14ac:dyDescent="0.25">
      <c r="D305" t="s">
        <v>378</v>
      </c>
    </row>
    <row r="306" spans="2:5" x14ac:dyDescent="0.25">
      <c r="C306" t="s">
        <v>226</v>
      </c>
    </row>
    <row r="307" spans="2:5" x14ac:dyDescent="0.25">
      <c r="B307" t="s">
        <v>229</v>
      </c>
    </row>
    <row r="308" spans="2:5" x14ac:dyDescent="0.25">
      <c r="B308" t="s">
        <v>379</v>
      </c>
    </row>
    <row r="309" spans="2:5" x14ac:dyDescent="0.25">
      <c r="C309" t="s">
        <v>208</v>
      </c>
    </row>
    <row r="310" spans="2:5" x14ac:dyDescent="0.25">
      <c r="D310" t="s">
        <v>230</v>
      </c>
    </row>
    <row r="311" spans="2:5" x14ac:dyDescent="0.25">
      <c r="D311" t="s">
        <v>210</v>
      </c>
    </row>
    <row r="312" spans="2:5" x14ac:dyDescent="0.25">
      <c r="E312" t="s">
        <v>211</v>
      </c>
    </row>
    <row r="313" spans="2:5" x14ac:dyDescent="0.25">
      <c r="D313" t="s">
        <v>212</v>
      </c>
    </row>
    <row r="314" spans="2:5" x14ac:dyDescent="0.25">
      <c r="D314" t="s">
        <v>213</v>
      </c>
    </row>
    <row r="315" spans="2:5" x14ac:dyDescent="0.25">
      <c r="C315" t="s">
        <v>214</v>
      </c>
    </row>
    <row r="316" spans="2:5" x14ac:dyDescent="0.25">
      <c r="C316" t="s">
        <v>215</v>
      </c>
    </row>
    <row r="317" spans="2:5" x14ac:dyDescent="0.25">
      <c r="D317" t="s">
        <v>216</v>
      </c>
    </row>
    <row r="318" spans="2:5" x14ac:dyDescent="0.25">
      <c r="C318" t="s">
        <v>217</v>
      </c>
    </row>
    <row r="319" spans="2:5" x14ac:dyDescent="0.25">
      <c r="C319" t="s">
        <v>218</v>
      </c>
    </row>
    <row r="320" spans="2:5" x14ac:dyDescent="0.25">
      <c r="D320" t="s">
        <v>219</v>
      </c>
    </row>
    <row r="321" spans="2:5" x14ac:dyDescent="0.25">
      <c r="C321" t="s">
        <v>220</v>
      </c>
    </row>
    <row r="322" spans="2:5" x14ac:dyDescent="0.25">
      <c r="B322" t="s">
        <v>221</v>
      </c>
    </row>
    <row r="323" spans="2:5" x14ac:dyDescent="0.25">
      <c r="B323" t="s">
        <v>245</v>
      </c>
    </row>
    <row r="324" spans="2:5" x14ac:dyDescent="0.25">
      <c r="C324" t="s">
        <v>208</v>
      </c>
    </row>
    <row r="325" spans="2:5" x14ac:dyDescent="0.25">
      <c r="D325" t="s">
        <v>209</v>
      </c>
    </row>
    <row r="326" spans="2:5" x14ac:dyDescent="0.25">
      <c r="D326" t="s">
        <v>210</v>
      </c>
    </row>
    <row r="327" spans="2:5" x14ac:dyDescent="0.25">
      <c r="E327" t="s">
        <v>211</v>
      </c>
    </row>
    <row r="328" spans="2:5" x14ac:dyDescent="0.25">
      <c r="D328" t="s">
        <v>212</v>
      </c>
    </row>
    <row r="329" spans="2:5" x14ac:dyDescent="0.25">
      <c r="D329" t="s">
        <v>213</v>
      </c>
    </row>
    <row r="330" spans="2:5" x14ac:dyDescent="0.25">
      <c r="C330" t="s">
        <v>214</v>
      </c>
    </row>
    <row r="331" spans="2:5" x14ac:dyDescent="0.25">
      <c r="C331" t="s">
        <v>215</v>
      </c>
    </row>
    <row r="332" spans="2:5" x14ac:dyDescent="0.25">
      <c r="D332" t="s">
        <v>380</v>
      </c>
    </row>
    <row r="333" spans="2:5" x14ac:dyDescent="0.25">
      <c r="C333" t="s">
        <v>217</v>
      </c>
    </row>
    <row r="334" spans="2:5" x14ac:dyDescent="0.25">
      <c r="C334" t="s">
        <v>218</v>
      </c>
    </row>
    <row r="335" spans="2:5" x14ac:dyDescent="0.25">
      <c r="D335" t="s">
        <v>380</v>
      </c>
    </row>
    <row r="336" spans="2:5" x14ac:dyDescent="0.25">
      <c r="C336" t="s">
        <v>220</v>
      </c>
    </row>
    <row r="337" spans="2:4" x14ac:dyDescent="0.25">
      <c r="B337" t="s">
        <v>221</v>
      </c>
    </row>
    <row r="338" spans="2:4" x14ac:dyDescent="0.25">
      <c r="B338" t="s">
        <v>381</v>
      </c>
    </row>
    <row r="339" spans="2:4" x14ac:dyDescent="0.25">
      <c r="C339" t="s">
        <v>223</v>
      </c>
    </row>
    <row r="340" spans="2:4" x14ac:dyDescent="0.25">
      <c r="D340" t="s">
        <v>224</v>
      </c>
    </row>
    <row r="341" spans="2:4" x14ac:dyDescent="0.25">
      <c r="D341" t="s">
        <v>382</v>
      </c>
    </row>
    <row r="342" spans="2:4" x14ac:dyDescent="0.25">
      <c r="C342" t="s">
        <v>226</v>
      </c>
    </row>
    <row r="343" spans="2:4" x14ac:dyDescent="0.25">
      <c r="C343" t="s">
        <v>223</v>
      </c>
    </row>
    <row r="344" spans="2:4" x14ac:dyDescent="0.25">
      <c r="D344" t="s">
        <v>227</v>
      </c>
    </row>
    <row r="345" spans="2:4" x14ac:dyDescent="0.25">
      <c r="D345" t="s">
        <v>383</v>
      </c>
    </row>
    <row r="346" spans="2:4" x14ac:dyDescent="0.25">
      <c r="C346" t="s">
        <v>226</v>
      </c>
    </row>
    <row r="347" spans="2:4" x14ac:dyDescent="0.25">
      <c r="B347" t="s">
        <v>229</v>
      </c>
    </row>
    <row r="348" spans="2:4" x14ac:dyDescent="0.25">
      <c r="B348" t="s">
        <v>384</v>
      </c>
    </row>
    <row r="349" spans="2:4" x14ac:dyDescent="0.25">
      <c r="C349" t="s">
        <v>223</v>
      </c>
    </row>
    <row r="350" spans="2:4" x14ac:dyDescent="0.25">
      <c r="D350" t="s">
        <v>224</v>
      </c>
    </row>
    <row r="351" spans="2:4" x14ac:dyDescent="0.25">
      <c r="D351" t="s">
        <v>385</v>
      </c>
    </row>
    <row r="352" spans="2:4" x14ac:dyDescent="0.25">
      <c r="C352" t="s">
        <v>226</v>
      </c>
    </row>
    <row r="353" spans="2:4" x14ac:dyDescent="0.25">
      <c r="C353" t="s">
        <v>223</v>
      </c>
    </row>
    <row r="354" spans="2:4" x14ac:dyDescent="0.25">
      <c r="D354" t="s">
        <v>227</v>
      </c>
    </row>
    <row r="355" spans="2:4" x14ac:dyDescent="0.25">
      <c r="D355" t="s">
        <v>386</v>
      </c>
    </row>
    <row r="356" spans="2:4" x14ac:dyDescent="0.25">
      <c r="C356" t="s">
        <v>226</v>
      </c>
    </row>
    <row r="357" spans="2:4" x14ac:dyDescent="0.25">
      <c r="B357" t="s">
        <v>229</v>
      </c>
    </row>
    <row r="358" spans="2:4" x14ac:dyDescent="0.25">
      <c r="B358" t="s">
        <v>387</v>
      </c>
    </row>
    <row r="359" spans="2:4" x14ac:dyDescent="0.25">
      <c r="C359" t="s">
        <v>223</v>
      </c>
    </row>
    <row r="360" spans="2:4" x14ac:dyDescent="0.25">
      <c r="D360" t="s">
        <v>224</v>
      </c>
    </row>
    <row r="361" spans="2:4" x14ac:dyDescent="0.25">
      <c r="D361" t="s">
        <v>388</v>
      </c>
    </row>
    <row r="362" spans="2:4" x14ac:dyDescent="0.25">
      <c r="C362" t="s">
        <v>226</v>
      </c>
    </row>
    <row r="363" spans="2:4" x14ac:dyDescent="0.25">
      <c r="C363" t="s">
        <v>223</v>
      </c>
    </row>
    <row r="364" spans="2:4" x14ac:dyDescent="0.25">
      <c r="D364" t="s">
        <v>227</v>
      </c>
    </row>
    <row r="365" spans="2:4" x14ac:dyDescent="0.25">
      <c r="D365" t="s">
        <v>389</v>
      </c>
    </row>
    <row r="366" spans="2:4" x14ac:dyDescent="0.25">
      <c r="C366" t="s">
        <v>226</v>
      </c>
    </row>
    <row r="367" spans="2:4" x14ac:dyDescent="0.25">
      <c r="B367" t="s">
        <v>229</v>
      </c>
    </row>
    <row r="368" spans="2:4" x14ac:dyDescent="0.25">
      <c r="B368" t="s">
        <v>390</v>
      </c>
    </row>
    <row r="369" spans="2:5" x14ac:dyDescent="0.25">
      <c r="C369" t="s">
        <v>208</v>
      </c>
    </row>
    <row r="370" spans="2:5" x14ac:dyDescent="0.25">
      <c r="D370" t="s">
        <v>209</v>
      </c>
    </row>
    <row r="371" spans="2:5" x14ac:dyDescent="0.25">
      <c r="D371" t="s">
        <v>210</v>
      </c>
    </row>
    <row r="372" spans="2:5" x14ac:dyDescent="0.25">
      <c r="E372" t="s">
        <v>211</v>
      </c>
    </row>
    <row r="373" spans="2:5" x14ac:dyDescent="0.25">
      <c r="D373" t="s">
        <v>212</v>
      </c>
    </row>
    <row r="374" spans="2:5" x14ac:dyDescent="0.25">
      <c r="D374" t="s">
        <v>213</v>
      </c>
    </row>
    <row r="375" spans="2:5" x14ac:dyDescent="0.25">
      <c r="C375" t="s">
        <v>214</v>
      </c>
    </row>
    <row r="376" spans="2:5" x14ac:dyDescent="0.25">
      <c r="C376" t="s">
        <v>215</v>
      </c>
    </row>
    <row r="377" spans="2:5" x14ac:dyDescent="0.25">
      <c r="D377" t="s">
        <v>216</v>
      </c>
    </row>
    <row r="378" spans="2:5" x14ac:dyDescent="0.25">
      <c r="C378" t="s">
        <v>217</v>
      </c>
    </row>
    <row r="379" spans="2:5" x14ac:dyDescent="0.25">
      <c r="C379" t="s">
        <v>218</v>
      </c>
    </row>
    <row r="380" spans="2:5" x14ac:dyDescent="0.25">
      <c r="D380" t="s">
        <v>219</v>
      </c>
    </row>
    <row r="381" spans="2:5" x14ac:dyDescent="0.25">
      <c r="C381" t="s">
        <v>220</v>
      </c>
    </row>
    <row r="382" spans="2:5" x14ac:dyDescent="0.25">
      <c r="B382" t="s">
        <v>221</v>
      </c>
    </row>
    <row r="383" spans="2:5" x14ac:dyDescent="0.25">
      <c r="B383" t="s">
        <v>391</v>
      </c>
    </row>
    <row r="384" spans="2:5" x14ac:dyDescent="0.25">
      <c r="C384" t="s">
        <v>223</v>
      </c>
    </row>
    <row r="385" spans="2:4" x14ac:dyDescent="0.25">
      <c r="D385" t="s">
        <v>224</v>
      </c>
    </row>
    <row r="386" spans="2:4" x14ac:dyDescent="0.25">
      <c r="D386" t="s">
        <v>392</v>
      </c>
    </row>
    <row r="387" spans="2:4" x14ac:dyDescent="0.25">
      <c r="C387" t="s">
        <v>226</v>
      </c>
    </row>
    <row r="388" spans="2:4" x14ac:dyDescent="0.25">
      <c r="C388" t="s">
        <v>223</v>
      </c>
    </row>
    <row r="389" spans="2:4" x14ac:dyDescent="0.25">
      <c r="D389" t="s">
        <v>227</v>
      </c>
    </row>
    <row r="390" spans="2:4" x14ac:dyDescent="0.25">
      <c r="D390" t="s">
        <v>393</v>
      </c>
    </row>
    <row r="391" spans="2:4" x14ac:dyDescent="0.25">
      <c r="C391" t="s">
        <v>226</v>
      </c>
    </row>
    <row r="392" spans="2:4" x14ac:dyDescent="0.25">
      <c r="B392" t="s">
        <v>229</v>
      </c>
    </row>
    <row r="393" spans="2:4" x14ac:dyDescent="0.25">
      <c r="B393" t="s">
        <v>394</v>
      </c>
    </row>
    <row r="394" spans="2:4" x14ac:dyDescent="0.25">
      <c r="C394" t="s">
        <v>223</v>
      </c>
    </row>
    <row r="395" spans="2:4" x14ac:dyDescent="0.25">
      <c r="D395" t="s">
        <v>224</v>
      </c>
    </row>
    <row r="396" spans="2:4" x14ac:dyDescent="0.25">
      <c r="D396" t="s">
        <v>395</v>
      </c>
    </row>
    <row r="397" spans="2:4" x14ac:dyDescent="0.25">
      <c r="C397" t="s">
        <v>226</v>
      </c>
    </row>
    <row r="398" spans="2:4" x14ac:dyDescent="0.25">
      <c r="C398" t="s">
        <v>223</v>
      </c>
    </row>
    <row r="399" spans="2:4" x14ac:dyDescent="0.25">
      <c r="D399" t="s">
        <v>227</v>
      </c>
    </row>
    <row r="400" spans="2:4" x14ac:dyDescent="0.25">
      <c r="D400" t="s">
        <v>396</v>
      </c>
    </row>
    <row r="401" spans="2:4" x14ac:dyDescent="0.25">
      <c r="C401" t="s">
        <v>226</v>
      </c>
    </row>
    <row r="402" spans="2:4" x14ac:dyDescent="0.25">
      <c r="B402" t="s">
        <v>229</v>
      </c>
    </row>
    <row r="403" spans="2:4" x14ac:dyDescent="0.25">
      <c r="B403" t="s">
        <v>397</v>
      </c>
    </row>
    <row r="404" spans="2:4" x14ac:dyDescent="0.25">
      <c r="C404" t="s">
        <v>223</v>
      </c>
    </row>
    <row r="405" spans="2:4" x14ac:dyDescent="0.25">
      <c r="D405" t="s">
        <v>224</v>
      </c>
    </row>
    <row r="406" spans="2:4" x14ac:dyDescent="0.25">
      <c r="D406" t="s">
        <v>398</v>
      </c>
    </row>
    <row r="407" spans="2:4" x14ac:dyDescent="0.25">
      <c r="C407" t="s">
        <v>226</v>
      </c>
    </row>
    <row r="408" spans="2:4" x14ac:dyDescent="0.25">
      <c r="C408" t="s">
        <v>223</v>
      </c>
    </row>
    <row r="409" spans="2:4" x14ac:dyDescent="0.25">
      <c r="D409" t="s">
        <v>227</v>
      </c>
    </row>
    <row r="410" spans="2:4" x14ac:dyDescent="0.25">
      <c r="D410" t="s">
        <v>399</v>
      </c>
    </row>
    <row r="411" spans="2:4" x14ac:dyDescent="0.25">
      <c r="C411" t="s">
        <v>226</v>
      </c>
    </row>
    <row r="412" spans="2:4" x14ac:dyDescent="0.25">
      <c r="B412" t="s">
        <v>229</v>
      </c>
    </row>
    <row r="413" spans="2:4" x14ac:dyDescent="0.25">
      <c r="B413" t="s">
        <v>400</v>
      </c>
    </row>
    <row r="414" spans="2:4" x14ac:dyDescent="0.25">
      <c r="C414" t="s">
        <v>208</v>
      </c>
    </row>
    <row r="415" spans="2:4" x14ac:dyDescent="0.25">
      <c r="D415" t="s">
        <v>230</v>
      </c>
    </row>
    <row r="416" spans="2:4" x14ac:dyDescent="0.25">
      <c r="D416" t="s">
        <v>210</v>
      </c>
    </row>
    <row r="417" spans="2:5" x14ac:dyDescent="0.25">
      <c r="E417" t="s">
        <v>211</v>
      </c>
    </row>
    <row r="418" spans="2:5" x14ac:dyDescent="0.25">
      <c r="D418" t="s">
        <v>212</v>
      </c>
    </row>
    <row r="419" spans="2:5" x14ac:dyDescent="0.25">
      <c r="D419" t="s">
        <v>213</v>
      </c>
    </row>
    <row r="420" spans="2:5" x14ac:dyDescent="0.25">
      <c r="C420" t="s">
        <v>214</v>
      </c>
    </row>
    <row r="421" spans="2:5" x14ac:dyDescent="0.25">
      <c r="C421" t="s">
        <v>215</v>
      </c>
    </row>
    <row r="422" spans="2:5" x14ac:dyDescent="0.25">
      <c r="D422" t="s">
        <v>216</v>
      </c>
    </row>
    <row r="423" spans="2:5" x14ac:dyDescent="0.25">
      <c r="C423" t="s">
        <v>217</v>
      </c>
    </row>
    <row r="424" spans="2:5" x14ac:dyDescent="0.25">
      <c r="C424" t="s">
        <v>218</v>
      </c>
    </row>
    <row r="425" spans="2:5" x14ac:dyDescent="0.25">
      <c r="D425" t="s">
        <v>219</v>
      </c>
    </row>
    <row r="426" spans="2:5" x14ac:dyDescent="0.25">
      <c r="C426" t="s">
        <v>220</v>
      </c>
    </row>
    <row r="427" spans="2:5" x14ac:dyDescent="0.25">
      <c r="B427" t="s">
        <v>221</v>
      </c>
    </row>
    <row r="428" spans="2:5" x14ac:dyDescent="0.25">
      <c r="B428" t="s">
        <v>401</v>
      </c>
    </row>
    <row r="429" spans="2:5" x14ac:dyDescent="0.25">
      <c r="C429" t="s">
        <v>223</v>
      </c>
    </row>
    <row r="430" spans="2:5" x14ac:dyDescent="0.25">
      <c r="D430" t="s">
        <v>224</v>
      </c>
    </row>
    <row r="431" spans="2:5" x14ac:dyDescent="0.25">
      <c r="D431" t="s">
        <v>225</v>
      </c>
    </row>
    <row r="432" spans="2:5" x14ac:dyDescent="0.25">
      <c r="C432" t="s">
        <v>226</v>
      </c>
    </row>
    <row r="433" spans="2:5" x14ac:dyDescent="0.25">
      <c r="C433" t="s">
        <v>223</v>
      </c>
    </row>
    <row r="434" spans="2:5" x14ac:dyDescent="0.25">
      <c r="D434" t="s">
        <v>227</v>
      </c>
    </row>
    <row r="435" spans="2:5" x14ac:dyDescent="0.25">
      <c r="D435" t="s">
        <v>236</v>
      </c>
    </row>
    <row r="436" spans="2:5" x14ac:dyDescent="0.25">
      <c r="C436" t="s">
        <v>226</v>
      </c>
    </row>
    <row r="437" spans="2:5" x14ac:dyDescent="0.25">
      <c r="B437" t="s">
        <v>229</v>
      </c>
    </row>
    <row r="438" spans="2:5" x14ac:dyDescent="0.25">
      <c r="B438" t="s">
        <v>402</v>
      </c>
    </row>
    <row r="439" spans="2:5" x14ac:dyDescent="0.25">
      <c r="C439" t="s">
        <v>208</v>
      </c>
    </row>
    <row r="440" spans="2:5" x14ac:dyDescent="0.25">
      <c r="D440" t="s">
        <v>209</v>
      </c>
    </row>
    <row r="441" spans="2:5" x14ac:dyDescent="0.25">
      <c r="D441" t="s">
        <v>210</v>
      </c>
    </row>
    <row r="442" spans="2:5" x14ac:dyDescent="0.25">
      <c r="E442" t="s">
        <v>211</v>
      </c>
    </row>
    <row r="443" spans="2:5" x14ac:dyDescent="0.25">
      <c r="D443" t="s">
        <v>212</v>
      </c>
    </row>
    <row r="444" spans="2:5" x14ac:dyDescent="0.25">
      <c r="D444" t="s">
        <v>213</v>
      </c>
    </row>
    <row r="445" spans="2:5" x14ac:dyDescent="0.25">
      <c r="C445" t="s">
        <v>214</v>
      </c>
    </row>
    <row r="446" spans="2:5" x14ac:dyDescent="0.25">
      <c r="C446" t="s">
        <v>215</v>
      </c>
    </row>
    <row r="447" spans="2:5" x14ac:dyDescent="0.25">
      <c r="D447" t="s">
        <v>371</v>
      </c>
    </row>
    <row r="448" spans="2:5" x14ac:dyDescent="0.25">
      <c r="C448" t="s">
        <v>217</v>
      </c>
    </row>
    <row r="449" spans="2:5" x14ac:dyDescent="0.25">
      <c r="C449" t="s">
        <v>218</v>
      </c>
    </row>
    <row r="450" spans="2:5" x14ac:dyDescent="0.25">
      <c r="D450" t="s">
        <v>372</v>
      </c>
    </row>
    <row r="451" spans="2:5" x14ac:dyDescent="0.25">
      <c r="C451" t="s">
        <v>220</v>
      </c>
    </row>
    <row r="452" spans="2:5" x14ac:dyDescent="0.25">
      <c r="B452" t="s">
        <v>221</v>
      </c>
    </row>
    <row r="453" spans="2:5" x14ac:dyDescent="0.25">
      <c r="B453" t="s">
        <v>403</v>
      </c>
    </row>
    <row r="454" spans="2:5" x14ac:dyDescent="0.25">
      <c r="C454" t="s">
        <v>208</v>
      </c>
    </row>
    <row r="455" spans="2:5" x14ac:dyDescent="0.25">
      <c r="D455" t="s">
        <v>353</v>
      </c>
    </row>
    <row r="456" spans="2:5" x14ac:dyDescent="0.25">
      <c r="D456" t="s">
        <v>210</v>
      </c>
    </row>
    <row r="457" spans="2:5" x14ac:dyDescent="0.25">
      <c r="E457" t="s">
        <v>365</v>
      </c>
    </row>
    <row r="458" spans="2:5" x14ac:dyDescent="0.25">
      <c r="D458" t="s">
        <v>212</v>
      </c>
    </row>
    <row r="459" spans="2:5" x14ac:dyDescent="0.25">
      <c r="D459" t="s">
        <v>355</v>
      </c>
    </row>
    <row r="460" spans="2:5" x14ac:dyDescent="0.25">
      <c r="C460" t="s">
        <v>214</v>
      </c>
    </row>
    <row r="461" spans="2:5" x14ac:dyDescent="0.25">
      <c r="C461" t="s">
        <v>231</v>
      </c>
    </row>
    <row r="462" spans="2:5" x14ac:dyDescent="0.25">
      <c r="C462" t="s">
        <v>232</v>
      </c>
    </row>
    <row r="463" spans="2:5" x14ac:dyDescent="0.25">
      <c r="B463" t="s">
        <v>221</v>
      </c>
    </row>
    <row r="464" spans="2:5" x14ac:dyDescent="0.25">
      <c r="B464" t="s">
        <v>404</v>
      </c>
    </row>
    <row r="465" spans="2:5" x14ac:dyDescent="0.25">
      <c r="C465" t="s">
        <v>208</v>
      </c>
    </row>
    <row r="466" spans="2:5" x14ac:dyDescent="0.25">
      <c r="D466" t="s">
        <v>209</v>
      </c>
    </row>
    <row r="467" spans="2:5" x14ac:dyDescent="0.25">
      <c r="D467" t="s">
        <v>210</v>
      </c>
    </row>
    <row r="468" spans="2:5" x14ac:dyDescent="0.25">
      <c r="E468" t="s">
        <v>211</v>
      </c>
    </row>
    <row r="469" spans="2:5" x14ac:dyDescent="0.25">
      <c r="D469" t="s">
        <v>212</v>
      </c>
    </row>
    <row r="470" spans="2:5" x14ac:dyDescent="0.25">
      <c r="D470" t="s">
        <v>213</v>
      </c>
    </row>
    <row r="471" spans="2:5" x14ac:dyDescent="0.25">
      <c r="C471" t="s">
        <v>214</v>
      </c>
    </row>
    <row r="472" spans="2:5" x14ac:dyDescent="0.25">
      <c r="C472" t="s">
        <v>215</v>
      </c>
    </row>
    <row r="473" spans="2:5" x14ac:dyDescent="0.25">
      <c r="D473" t="s">
        <v>239</v>
      </c>
    </row>
    <row r="474" spans="2:5" x14ac:dyDescent="0.25">
      <c r="C474" t="s">
        <v>217</v>
      </c>
    </row>
    <row r="475" spans="2:5" x14ac:dyDescent="0.25">
      <c r="C475" t="s">
        <v>218</v>
      </c>
    </row>
    <row r="476" spans="2:5" x14ac:dyDescent="0.25">
      <c r="D476" t="s">
        <v>240</v>
      </c>
    </row>
    <row r="477" spans="2:5" x14ac:dyDescent="0.25">
      <c r="C477" t="s">
        <v>220</v>
      </c>
    </row>
    <row r="478" spans="2:5" x14ac:dyDescent="0.25">
      <c r="B478" t="s">
        <v>221</v>
      </c>
    </row>
    <row r="479" spans="2:5" x14ac:dyDescent="0.25">
      <c r="B479" t="s">
        <v>405</v>
      </c>
    </row>
    <row r="480" spans="2:5" x14ac:dyDescent="0.25">
      <c r="C480" t="s">
        <v>223</v>
      </c>
    </row>
    <row r="481" spans="2:5" x14ac:dyDescent="0.25">
      <c r="D481" t="s">
        <v>224</v>
      </c>
    </row>
    <row r="482" spans="2:5" x14ac:dyDescent="0.25">
      <c r="D482" t="s">
        <v>388</v>
      </c>
    </row>
    <row r="483" spans="2:5" x14ac:dyDescent="0.25">
      <c r="C483" t="s">
        <v>226</v>
      </c>
    </row>
    <row r="484" spans="2:5" x14ac:dyDescent="0.25">
      <c r="C484" t="s">
        <v>223</v>
      </c>
    </row>
    <row r="485" spans="2:5" x14ac:dyDescent="0.25">
      <c r="D485" t="s">
        <v>227</v>
      </c>
    </row>
    <row r="486" spans="2:5" x14ac:dyDescent="0.25">
      <c r="D486" t="s">
        <v>389</v>
      </c>
    </row>
    <row r="487" spans="2:5" x14ac:dyDescent="0.25">
      <c r="C487" t="s">
        <v>226</v>
      </c>
    </row>
    <row r="488" spans="2:5" x14ac:dyDescent="0.25">
      <c r="B488" t="s">
        <v>229</v>
      </c>
    </row>
    <row r="489" spans="2:5" x14ac:dyDescent="0.25">
      <c r="B489" t="s">
        <v>241</v>
      </c>
    </row>
    <row r="490" spans="2:5" x14ac:dyDescent="0.25">
      <c r="C490" t="s">
        <v>208</v>
      </c>
    </row>
    <row r="491" spans="2:5" x14ac:dyDescent="0.25">
      <c r="D491" t="s">
        <v>230</v>
      </c>
    </row>
    <row r="492" spans="2:5" x14ac:dyDescent="0.25">
      <c r="D492" t="s">
        <v>210</v>
      </c>
    </row>
    <row r="493" spans="2:5" x14ac:dyDescent="0.25">
      <c r="E493" t="s">
        <v>211</v>
      </c>
    </row>
    <row r="494" spans="2:5" x14ac:dyDescent="0.25">
      <c r="D494" t="s">
        <v>212</v>
      </c>
    </row>
    <row r="495" spans="2:5" x14ac:dyDescent="0.25">
      <c r="D495" t="s">
        <v>213</v>
      </c>
    </row>
    <row r="496" spans="2:5" x14ac:dyDescent="0.25">
      <c r="C496" t="s">
        <v>214</v>
      </c>
    </row>
    <row r="497" spans="2:5" x14ac:dyDescent="0.25">
      <c r="C497" t="s">
        <v>215</v>
      </c>
    </row>
    <row r="498" spans="2:5" x14ac:dyDescent="0.25">
      <c r="D498" t="s">
        <v>380</v>
      </c>
    </row>
    <row r="499" spans="2:5" x14ac:dyDescent="0.25">
      <c r="C499" t="s">
        <v>217</v>
      </c>
    </row>
    <row r="500" spans="2:5" x14ac:dyDescent="0.25">
      <c r="C500" t="s">
        <v>218</v>
      </c>
    </row>
    <row r="501" spans="2:5" x14ac:dyDescent="0.25">
      <c r="D501" t="s">
        <v>380</v>
      </c>
    </row>
    <row r="502" spans="2:5" x14ac:dyDescent="0.25">
      <c r="C502" t="s">
        <v>220</v>
      </c>
    </row>
    <row r="503" spans="2:5" x14ac:dyDescent="0.25">
      <c r="B503" t="s">
        <v>221</v>
      </c>
    </row>
    <row r="504" spans="2:5" x14ac:dyDescent="0.25">
      <c r="B504" t="s">
        <v>406</v>
      </c>
    </row>
    <row r="505" spans="2:5" x14ac:dyDescent="0.25">
      <c r="C505" t="s">
        <v>208</v>
      </c>
    </row>
    <row r="506" spans="2:5" x14ac:dyDescent="0.25">
      <c r="D506" t="s">
        <v>230</v>
      </c>
    </row>
    <row r="507" spans="2:5" x14ac:dyDescent="0.25">
      <c r="D507" t="s">
        <v>210</v>
      </c>
    </row>
    <row r="508" spans="2:5" x14ac:dyDescent="0.25">
      <c r="E508" t="s">
        <v>211</v>
      </c>
    </row>
    <row r="509" spans="2:5" x14ac:dyDescent="0.25">
      <c r="D509" t="s">
        <v>212</v>
      </c>
    </row>
    <row r="510" spans="2:5" x14ac:dyDescent="0.25">
      <c r="D510" t="s">
        <v>213</v>
      </c>
    </row>
    <row r="511" spans="2:5" x14ac:dyDescent="0.25">
      <c r="C511" t="s">
        <v>214</v>
      </c>
    </row>
    <row r="512" spans="2:5" x14ac:dyDescent="0.25">
      <c r="C512" t="s">
        <v>215</v>
      </c>
    </row>
    <row r="513" spans="2:4" x14ac:dyDescent="0.25">
      <c r="D513" t="s">
        <v>216</v>
      </c>
    </row>
    <row r="514" spans="2:4" x14ac:dyDescent="0.25">
      <c r="C514" t="s">
        <v>217</v>
      </c>
    </row>
    <row r="515" spans="2:4" x14ac:dyDescent="0.25">
      <c r="C515" t="s">
        <v>218</v>
      </c>
    </row>
    <row r="516" spans="2:4" x14ac:dyDescent="0.25">
      <c r="D516" t="s">
        <v>216</v>
      </c>
    </row>
    <row r="517" spans="2:4" x14ac:dyDescent="0.25">
      <c r="C517" t="s">
        <v>220</v>
      </c>
    </row>
    <row r="518" spans="2:4" x14ac:dyDescent="0.25">
      <c r="B518" t="s">
        <v>221</v>
      </c>
    </row>
    <row r="519" spans="2:4" x14ac:dyDescent="0.25">
      <c r="B519" t="s">
        <v>407</v>
      </c>
    </row>
    <row r="520" spans="2:4" x14ac:dyDescent="0.25">
      <c r="C520" t="s">
        <v>223</v>
      </c>
    </row>
    <row r="521" spans="2:4" x14ac:dyDescent="0.25">
      <c r="D521" t="s">
        <v>224</v>
      </c>
    </row>
    <row r="522" spans="2:4" x14ac:dyDescent="0.25">
      <c r="D522" t="s">
        <v>408</v>
      </c>
    </row>
    <row r="523" spans="2:4" x14ac:dyDescent="0.25">
      <c r="C523" t="s">
        <v>226</v>
      </c>
    </row>
    <row r="524" spans="2:4" x14ac:dyDescent="0.25">
      <c r="C524" t="s">
        <v>223</v>
      </c>
    </row>
    <row r="525" spans="2:4" x14ac:dyDescent="0.25">
      <c r="D525" t="s">
        <v>227</v>
      </c>
    </row>
    <row r="526" spans="2:4" x14ac:dyDescent="0.25">
      <c r="D526" t="s">
        <v>244</v>
      </c>
    </row>
    <row r="527" spans="2:4" x14ac:dyDescent="0.25">
      <c r="C527" t="s">
        <v>226</v>
      </c>
    </row>
    <row r="528" spans="2:4" x14ac:dyDescent="0.25">
      <c r="B528" t="s">
        <v>229</v>
      </c>
    </row>
    <row r="529" spans="2:5" x14ac:dyDescent="0.25">
      <c r="B529" t="s">
        <v>409</v>
      </c>
    </row>
    <row r="530" spans="2:5" x14ac:dyDescent="0.25">
      <c r="C530" t="s">
        <v>208</v>
      </c>
    </row>
    <row r="531" spans="2:5" x14ac:dyDescent="0.25">
      <c r="D531" t="s">
        <v>230</v>
      </c>
    </row>
    <row r="532" spans="2:5" x14ac:dyDescent="0.25">
      <c r="D532" t="s">
        <v>210</v>
      </c>
    </row>
    <row r="533" spans="2:5" x14ac:dyDescent="0.25">
      <c r="E533" t="s">
        <v>211</v>
      </c>
    </row>
    <row r="534" spans="2:5" x14ac:dyDescent="0.25">
      <c r="D534" t="s">
        <v>212</v>
      </c>
    </row>
    <row r="535" spans="2:5" x14ac:dyDescent="0.25">
      <c r="D535" t="s">
        <v>213</v>
      </c>
    </row>
    <row r="536" spans="2:5" x14ac:dyDescent="0.25">
      <c r="C536" t="s">
        <v>214</v>
      </c>
    </row>
    <row r="537" spans="2:5" x14ac:dyDescent="0.25">
      <c r="C537" t="s">
        <v>215</v>
      </c>
    </row>
    <row r="538" spans="2:5" x14ac:dyDescent="0.25">
      <c r="D538" t="s">
        <v>374</v>
      </c>
    </row>
    <row r="539" spans="2:5" x14ac:dyDescent="0.25">
      <c r="C539" t="s">
        <v>217</v>
      </c>
    </row>
    <row r="540" spans="2:5" x14ac:dyDescent="0.25">
      <c r="C540" t="s">
        <v>218</v>
      </c>
    </row>
    <row r="541" spans="2:5" x14ac:dyDescent="0.25">
      <c r="D541" t="s">
        <v>374</v>
      </c>
    </row>
    <row r="542" spans="2:5" x14ac:dyDescent="0.25">
      <c r="C542" t="s">
        <v>220</v>
      </c>
    </row>
    <row r="543" spans="2:5" x14ac:dyDescent="0.25">
      <c r="B543" t="s">
        <v>221</v>
      </c>
    </row>
    <row r="544" spans="2:5" x14ac:dyDescent="0.25">
      <c r="B544" t="s">
        <v>410</v>
      </c>
    </row>
    <row r="545" spans="2:5" x14ac:dyDescent="0.25">
      <c r="C545" t="s">
        <v>223</v>
      </c>
    </row>
    <row r="546" spans="2:5" x14ac:dyDescent="0.25">
      <c r="D546" t="s">
        <v>224</v>
      </c>
    </row>
    <row r="547" spans="2:5" x14ac:dyDescent="0.25">
      <c r="D547" t="s">
        <v>411</v>
      </c>
    </row>
    <row r="548" spans="2:5" x14ac:dyDescent="0.25">
      <c r="C548" t="s">
        <v>226</v>
      </c>
    </row>
    <row r="549" spans="2:5" x14ac:dyDescent="0.25">
      <c r="C549" t="s">
        <v>223</v>
      </c>
    </row>
    <row r="550" spans="2:5" x14ac:dyDescent="0.25">
      <c r="D550" t="s">
        <v>227</v>
      </c>
    </row>
    <row r="551" spans="2:5" x14ac:dyDescent="0.25">
      <c r="D551" t="s">
        <v>412</v>
      </c>
    </row>
    <row r="552" spans="2:5" x14ac:dyDescent="0.25">
      <c r="C552" t="s">
        <v>226</v>
      </c>
    </row>
    <row r="553" spans="2:5" x14ac:dyDescent="0.25">
      <c r="B553" t="s">
        <v>229</v>
      </c>
    </row>
    <row r="554" spans="2:5" x14ac:dyDescent="0.25">
      <c r="B554" t="s">
        <v>413</v>
      </c>
    </row>
    <row r="555" spans="2:5" x14ac:dyDescent="0.25">
      <c r="C555" t="s">
        <v>208</v>
      </c>
    </row>
    <row r="556" spans="2:5" x14ac:dyDescent="0.25">
      <c r="D556" t="s">
        <v>209</v>
      </c>
    </row>
    <row r="557" spans="2:5" x14ac:dyDescent="0.25">
      <c r="D557" t="s">
        <v>210</v>
      </c>
    </row>
    <row r="558" spans="2:5" x14ac:dyDescent="0.25">
      <c r="E558" t="s">
        <v>211</v>
      </c>
    </row>
    <row r="559" spans="2:5" x14ac:dyDescent="0.25">
      <c r="D559" t="s">
        <v>212</v>
      </c>
    </row>
    <row r="560" spans="2:5" x14ac:dyDescent="0.25">
      <c r="D560" t="s">
        <v>213</v>
      </c>
    </row>
    <row r="561" spans="2:4" x14ac:dyDescent="0.25">
      <c r="C561" t="s">
        <v>214</v>
      </c>
    </row>
    <row r="562" spans="2:4" x14ac:dyDescent="0.25">
      <c r="C562" t="s">
        <v>215</v>
      </c>
    </row>
    <row r="563" spans="2:4" x14ac:dyDescent="0.25">
      <c r="D563" t="s">
        <v>216</v>
      </c>
    </row>
    <row r="564" spans="2:4" x14ac:dyDescent="0.25">
      <c r="C564" t="s">
        <v>217</v>
      </c>
    </row>
    <row r="565" spans="2:4" x14ac:dyDescent="0.25">
      <c r="C565" t="s">
        <v>218</v>
      </c>
    </row>
    <row r="566" spans="2:4" x14ac:dyDescent="0.25">
      <c r="D566" t="s">
        <v>219</v>
      </c>
    </row>
    <row r="567" spans="2:4" x14ac:dyDescent="0.25">
      <c r="C567" t="s">
        <v>220</v>
      </c>
    </row>
    <row r="568" spans="2:4" x14ac:dyDescent="0.25">
      <c r="B568" t="s">
        <v>221</v>
      </c>
    </row>
    <row r="569" spans="2:4" x14ac:dyDescent="0.25">
      <c r="B569" t="s">
        <v>888</v>
      </c>
    </row>
    <row r="570" spans="2:4" x14ac:dyDescent="0.25">
      <c r="C570" t="s">
        <v>223</v>
      </c>
    </row>
    <row r="571" spans="2:4" x14ac:dyDescent="0.25">
      <c r="D571" t="s">
        <v>224</v>
      </c>
    </row>
    <row r="572" spans="2:4" x14ac:dyDescent="0.25">
      <c r="D572" t="s">
        <v>889</v>
      </c>
    </row>
    <row r="573" spans="2:4" x14ac:dyDescent="0.25">
      <c r="C573" t="s">
        <v>226</v>
      </c>
    </row>
    <row r="574" spans="2:4" x14ac:dyDescent="0.25">
      <c r="C574" t="s">
        <v>223</v>
      </c>
    </row>
    <row r="575" spans="2:4" x14ac:dyDescent="0.25">
      <c r="D575" t="s">
        <v>227</v>
      </c>
    </row>
    <row r="576" spans="2:4" x14ac:dyDescent="0.25">
      <c r="D576" t="s">
        <v>890</v>
      </c>
    </row>
    <row r="577" spans="2:5" x14ac:dyDescent="0.25">
      <c r="C577" t="s">
        <v>226</v>
      </c>
    </row>
    <row r="578" spans="2:5" x14ac:dyDescent="0.25">
      <c r="B578" t="s">
        <v>229</v>
      </c>
    </row>
    <row r="579" spans="2:5" x14ac:dyDescent="0.25">
      <c r="B579" t="s">
        <v>891</v>
      </c>
    </row>
    <row r="580" spans="2:5" x14ac:dyDescent="0.25">
      <c r="C580" t="s">
        <v>208</v>
      </c>
    </row>
    <row r="581" spans="2:5" x14ac:dyDescent="0.25">
      <c r="D581" t="s">
        <v>892</v>
      </c>
    </row>
    <row r="582" spans="2:5" x14ac:dyDescent="0.25">
      <c r="D582" t="s">
        <v>893</v>
      </c>
    </row>
    <row r="583" spans="2:5" x14ac:dyDescent="0.25">
      <c r="D583" t="s">
        <v>210</v>
      </c>
    </row>
    <row r="584" spans="2:5" x14ac:dyDescent="0.25">
      <c r="E584" t="s">
        <v>354</v>
      </c>
    </row>
    <row r="585" spans="2:5" x14ac:dyDescent="0.25">
      <c r="D585" t="s">
        <v>212</v>
      </c>
    </row>
    <row r="586" spans="2:5" x14ac:dyDescent="0.25">
      <c r="D586" t="s">
        <v>355</v>
      </c>
    </row>
    <row r="587" spans="2:5" x14ac:dyDescent="0.25">
      <c r="C587" t="s">
        <v>214</v>
      </c>
    </row>
    <row r="588" spans="2:5" x14ac:dyDescent="0.25">
      <c r="C588" t="s">
        <v>894</v>
      </c>
    </row>
    <row r="589" spans="2:5" x14ac:dyDescent="0.25">
      <c r="D589" t="s">
        <v>892</v>
      </c>
    </row>
    <row r="590" spans="2:5" x14ac:dyDescent="0.25">
      <c r="D590" t="s">
        <v>895</v>
      </c>
    </row>
    <row r="591" spans="2:5" x14ac:dyDescent="0.25">
      <c r="C591" t="s">
        <v>896</v>
      </c>
    </row>
    <row r="592" spans="2:5" x14ac:dyDescent="0.25">
      <c r="C592" t="s">
        <v>215</v>
      </c>
    </row>
    <row r="593" spans="2:5" x14ac:dyDescent="0.25">
      <c r="D593" t="s">
        <v>892</v>
      </c>
    </row>
    <row r="594" spans="2:5" x14ac:dyDescent="0.25">
      <c r="D594" t="s">
        <v>897</v>
      </c>
    </row>
    <row r="595" spans="2:5" x14ac:dyDescent="0.25">
      <c r="C595" t="s">
        <v>217</v>
      </c>
    </row>
    <row r="596" spans="2:5" x14ac:dyDescent="0.25">
      <c r="B596" t="s">
        <v>221</v>
      </c>
    </row>
    <row r="597" spans="2:5" x14ac:dyDescent="0.25">
      <c r="B597" t="s">
        <v>898</v>
      </c>
    </row>
    <row r="598" spans="2:5" x14ac:dyDescent="0.25">
      <c r="C598" t="s">
        <v>208</v>
      </c>
    </row>
    <row r="599" spans="2:5" x14ac:dyDescent="0.25">
      <c r="D599" t="s">
        <v>892</v>
      </c>
    </row>
    <row r="600" spans="2:5" x14ac:dyDescent="0.25">
      <c r="D600" t="s">
        <v>899</v>
      </c>
    </row>
    <row r="601" spans="2:5" x14ac:dyDescent="0.25">
      <c r="D601" t="s">
        <v>210</v>
      </c>
    </row>
    <row r="602" spans="2:5" x14ac:dyDescent="0.25">
      <c r="E602" t="s">
        <v>354</v>
      </c>
    </row>
    <row r="603" spans="2:5" x14ac:dyDescent="0.25">
      <c r="D603" t="s">
        <v>212</v>
      </c>
    </row>
    <row r="604" spans="2:5" x14ac:dyDescent="0.25">
      <c r="D604" t="s">
        <v>355</v>
      </c>
    </row>
    <row r="605" spans="2:5" x14ac:dyDescent="0.25">
      <c r="C605" t="s">
        <v>214</v>
      </c>
    </row>
    <row r="606" spans="2:5" x14ac:dyDescent="0.25">
      <c r="C606" t="s">
        <v>894</v>
      </c>
    </row>
    <row r="607" spans="2:5" x14ac:dyDescent="0.25">
      <c r="D607" t="s">
        <v>892</v>
      </c>
    </row>
    <row r="608" spans="2:5" x14ac:dyDescent="0.25">
      <c r="D608" t="s">
        <v>895</v>
      </c>
    </row>
    <row r="609" spans="2:5" x14ac:dyDescent="0.25">
      <c r="C609" t="s">
        <v>896</v>
      </c>
    </row>
    <row r="610" spans="2:5" x14ac:dyDescent="0.25">
      <c r="C610" t="s">
        <v>215</v>
      </c>
    </row>
    <row r="611" spans="2:5" x14ac:dyDescent="0.25">
      <c r="D611" t="s">
        <v>892</v>
      </c>
    </row>
    <row r="612" spans="2:5" x14ac:dyDescent="0.25">
      <c r="D612" t="s">
        <v>897</v>
      </c>
    </row>
    <row r="613" spans="2:5" x14ac:dyDescent="0.25">
      <c r="C613" t="s">
        <v>217</v>
      </c>
    </row>
    <row r="614" spans="2:5" x14ac:dyDescent="0.25">
      <c r="B614" t="s">
        <v>221</v>
      </c>
    </row>
    <row r="615" spans="2:5" x14ac:dyDescent="0.25">
      <c r="B615" t="s">
        <v>246</v>
      </c>
    </row>
    <row r="616" spans="2:5" x14ac:dyDescent="0.25">
      <c r="C616" t="str">
        <f>"&lt;name&gt;"&amp;Data!D8&amp;" Heliport&lt;/name&gt;"</f>
        <v>&lt;name&gt;TYPE HELIPORT NAME HERE Heliport&lt;/name&gt;</v>
      </c>
    </row>
    <row r="617" spans="2:5" x14ac:dyDescent="0.25">
      <c r="C617" t="s">
        <v>247</v>
      </c>
    </row>
    <row r="618" spans="2:5" x14ac:dyDescent="0.25">
      <c r="C618" t="s">
        <v>248</v>
      </c>
    </row>
    <row r="619" spans="2:5" x14ac:dyDescent="0.25">
      <c r="D619" t="s">
        <v>414</v>
      </c>
    </row>
    <row r="620" spans="2:5" x14ac:dyDescent="0.25">
      <c r="D620" t="s">
        <v>415</v>
      </c>
    </row>
    <row r="621" spans="2:5" x14ac:dyDescent="0.25">
      <c r="D621" t="s">
        <v>416</v>
      </c>
      <c r="E621" t="s">
        <v>748</v>
      </c>
    </row>
    <row r="622" spans="2:5" x14ac:dyDescent="0.25">
      <c r="E622" t="str">
        <f>"&lt;coordinates&gt;-"&amp;Data!AE34&amp;","&amp;Data!AE33&amp;","&amp;Data!D27*0.3048&amp;"&lt;/coordinates&gt;"</f>
        <v>&lt;coordinates&gt;-80.1343305599999,26.05841667,4.2672&lt;/coordinates&gt;</v>
      </c>
    </row>
    <row r="623" spans="2:5" x14ac:dyDescent="0.25">
      <c r="D623" t="s">
        <v>417</v>
      </c>
    </row>
    <row r="624" spans="2:5" x14ac:dyDescent="0.25">
      <c r="C624" t="s">
        <v>258</v>
      </c>
    </row>
    <row r="625" spans="3:44" x14ac:dyDescent="0.25">
      <c r="C625" t="s">
        <v>248</v>
      </c>
    </row>
    <row r="626" spans="3:44" x14ac:dyDescent="0.25">
      <c r="D626" t="s">
        <v>418</v>
      </c>
    </row>
    <row r="627" spans="3:44" x14ac:dyDescent="0.25">
      <c r="D627" t="s">
        <v>259</v>
      </c>
    </row>
    <row r="628" spans="3:44" x14ac:dyDescent="0.25">
      <c r="D628" t="s">
        <v>249</v>
      </c>
    </row>
    <row r="629" spans="3:44" x14ac:dyDescent="0.25">
      <c r="E629" t="s">
        <v>748</v>
      </c>
    </row>
    <row r="630" spans="3:44" x14ac:dyDescent="0.25">
      <c r="E630" t="s">
        <v>253</v>
      </c>
    </row>
    <row r="631" spans="3:44" x14ac:dyDescent="0.25">
      <c r="F631" t="s">
        <v>254</v>
      </c>
    </row>
    <row r="632" spans="3:44" x14ac:dyDescent="0.25">
      <c r="G632" t="s">
        <v>886</v>
      </c>
      <c r="H632" t="str">
        <f ca="1">IF(Data!$D$10="Square","-"&amp;Data!AH34&amp;","&amp;Data!AH33&amp;","&amp;Data!$D$27*0.3048,"-"&amp;Data!AE150&amp;","&amp;Data!AE149&amp;","&amp;Data!$D$27*0.3048)</f>
        <v>-80.1342696399999,26.0584716935245,4.2672</v>
      </c>
      <c r="I632" t="str">
        <f ca="1">IF(Data!$D$10="Square","-"&amp;Data!AI34&amp;","&amp;Data!AI33&amp;","&amp;Data!$D$27*0.3048,"-"&amp;Data!AF150&amp;","&amp;Data!AF149&amp;","&amp;Data!$D$27*0.3048)</f>
        <v>-80.1342696399999,26.0583616464751,4.2672</v>
      </c>
      <c r="J632" t="str">
        <f ca="1">IF(Data!$D$10="Square","-"&amp;Data!AJ34&amp;","&amp;Data!AJ33&amp;","&amp;Data!$D$27*0.3048,"-"&amp;Data!AG150&amp;","&amp;Data!AG149&amp;","&amp;Data!$D$27*0.3048)</f>
        <v>-80.1343914799999,26.0583616464751,4.2672</v>
      </c>
      <c r="K632" t="str">
        <f ca="1">IF(Data!$D$10="Square","-"&amp;Data!AK34&amp;","&amp;Data!AK33&amp;","&amp;Data!$D$27*0.3048,"-"&amp;Data!AH150&amp;","&amp;Data!AH149&amp;","&amp;Data!$D$27*0.3048)</f>
        <v>-80.1343914799999,26.0584716935245,4.2672</v>
      </c>
      <c r="L632" t="str">
        <f ca="1">IF(Data!$D$10="Square","-"&amp;Data!AH34&amp;","&amp;Data!AH33&amp;","&amp;Data!$D$27*0.3048,"-"&amp;Data!AI150&amp;","&amp;Data!AI149&amp;","&amp;Data!$D$27*0.3048)</f>
        <v>-80.1342696399999,26.0584716935245,4.2672</v>
      </c>
      <c r="M632" t="str">
        <f>IF(Data!$D$10="Square","","-"&amp;Data!AJ150&amp;","&amp;Data!AJ149&amp;","&amp;Data!$D$27*0.3048)</f>
        <v/>
      </c>
      <c r="N632" t="str">
        <f>IF(Data!$D$10="Square","","-"&amp;Data!AK150&amp;","&amp;Data!AK149&amp;","&amp;Data!$D$27*0.3048)</f>
        <v/>
      </c>
      <c r="O632" t="str">
        <f>IF(Data!$D$10="Square","","-"&amp;Data!AL150&amp;","&amp;Data!AL149&amp;","&amp;Data!$D$27*0.3048)</f>
        <v/>
      </c>
      <c r="P632" t="str">
        <f>IF(Data!$D$10="Square","","-"&amp;Data!AM150&amp;","&amp;Data!AM149&amp;","&amp;Data!$D$27*0.3048)</f>
        <v/>
      </c>
      <c r="Q632" t="str">
        <f>IF(Data!$D$10="Square","","-"&amp;Data!AN150&amp;","&amp;Data!AN149&amp;","&amp;Data!$D$27*0.3048)</f>
        <v/>
      </c>
      <c r="R632" t="str">
        <f>IF(Data!$D$10="Square","","-"&amp;Data!AO150&amp;","&amp;Data!AO149&amp;","&amp;Data!$D$27*0.3048)</f>
        <v/>
      </c>
      <c r="S632" t="str">
        <f>IF(Data!$D$10="Square","","-"&amp;Data!AP150&amp;","&amp;Data!AP149&amp;","&amp;Data!$D$27*0.3048)</f>
        <v/>
      </c>
      <c r="T632" t="str">
        <f>IF(Data!$D$10="Square","","-"&amp;Data!AQ150&amp;","&amp;Data!AQ149&amp;","&amp;Data!$D$27*0.3048)</f>
        <v/>
      </c>
      <c r="U632" t="str">
        <f>IF(Data!$D$10="Square","","-"&amp;Data!AR150&amp;","&amp;Data!AR149&amp;","&amp;Data!$D$27*0.3048)</f>
        <v/>
      </c>
      <c r="V632" t="str">
        <f>IF(Data!$D$10="Square","","-"&amp;Data!AS150&amp;","&amp;Data!AS149&amp;","&amp;Data!$D$27*0.3048)</f>
        <v/>
      </c>
      <c r="W632" t="str">
        <f>IF(Data!$D$10="Square","","-"&amp;Data!AT150&amp;","&amp;Data!AT149&amp;","&amp;Data!$D$27*0.3048)</f>
        <v/>
      </c>
      <c r="X632" t="str">
        <f>IF(Data!$D$10="Square","","-"&amp;Data!AU150&amp;","&amp;Data!AU149&amp;","&amp;Data!$D$27*0.3048)</f>
        <v/>
      </c>
      <c r="Y632" t="str">
        <f>IF(Data!$D$10="Square","","-"&amp;Data!AV150&amp;","&amp;Data!AV149&amp;","&amp;Data!$D$27*0.3048)</f>
        <v/>
      </c>
      <c r="Z632" t="str">
        <f>IF(Data!$D$10="Square","","-"&amp;Data!AW150&amp;","&amp;Data!AW149&amp;","&amp;Data!$D$27*0.3048)</f>
        <v/>
      </c>
      <c r="AA632" t="str">
        <f>IF(Data!$D$10="Square","","-"&amp;Data!AX150&amp;","&amp;Data!AX149&amp;","&amp;Data!$D$27*0.3048)</f>
        <v/>
      </c>
      <c r="AB632" t="str">
        <f>IF(Data!$D$10="Square","","-"&amp;Data!AY150&amp;","&amp;Data!AY149&amp;","&amp;Data!$D$27*0.3048)</f>
        <v/>
      </c>
      <c r="AC632" t="str">
        <f>IF(Data!$D$10="Square","","-"&amp;Data!AZ150&amp;","&amp;Data!AZ149&amp;","&amp;Data!$D$27*0.3048)</f>
        <v/>
      </c>
      <c r="AD632" t="str">
        <f>IF(Data!$D$10="Square","","-"&amp;Data!BA150&amp;","&amp;Data!BA149&amp;","&amp;Data!$D$27*0.3048)</f>
        <v/>
      </c>
      <c r="AE632" t="str">
        <f>IF(Data!$D$10="Square","","-"&amp;Data!BB150&amp;","&amp;Data!BB149&amp;","&amp;Data!$D$27*0.3048)</f>
        <v/>
      </c>
      <c r="AF632" t="str">
        <f>IF(Data!$D$10="Square","","-"&amp;Data!BC150&amp;","&amp;Data!BC149&amp;","&amp;Data!$D$27*0.3048)</f>
        <v/>
      </c>
      <c r="AG632" t="str">
        <f>IF(Data!$D$10="Square","","-"&amp;Data!BD150&amp;","&amp;Data!BD149&amp;","&amp;Data!$D$27*0.3048)</f>
        <v/>
      </c>
      <c r="AH632" t="str">
        <f>IF(Data!$D$10="Square","","-"&amp;Data!BE150&amp;","&amp;Data!BE149&amp;","&amp;Data!$D$27*0.3048)</f>
        <v/>
      </c>
      <c r="AI632" t="str">
        <f>IF(Data!$D$10="Square","","-"&amp;Data!BF150&amp;","&amp;Data!BF149&amp;","&amp;Data!$D$27*0.3048)</f>
        <v/>
      </c>
      <c r="AJ632" t="str">
        <f>IF(Data!$D$10="Square","","-"&amp;Data!BG150&amp;","&amp;Data!BG149&amp;","&amp;Data!$D$27*0.3048)</f>
        <v/>
      </c>
      <c r="AK632" t="str">
        <f>IF(Data!$D$10="Square","","-"&amp;Data!BH150&amp;","&amp;Data!BH149&amp;","&amp;Data!$D$27*0.3048)</f>
        <v/>
      </c>
      <c r="AL632" t="str">
        <f>IF(Data!$D$10="Square","","-"&amp;Data!BI150&amp;","&amp;Data!BI149&amp;","&amp;Data!$D$27*0.3048)</f>
        <v/>
      </c>
      <c r="AM632" t="str">
        <f>IF(Data!$D$10="Square","","-"&amp;Data!BJ150&amp;","&amp;Data!BJ149&amp;","&amp;Data!$D$27*0.3048)</f>
        <v/>
      </c>
      <c r="AN632" t="str">
        <f>IF(Data!$D$10="Square","","-"&amp;Data!BK150&amp;","&amp;Data!BK149&amp;","&amp;Data!$D$27*0.3048)</f>
        <v/>
      </c>
      <c r="AO632" t="str">
        <f>IF(Data!$D$10="Square","","-"&amp;Data!BL150&amp;","&amp;Data!BL149&amp;","&amp;Data!$D$27*0.3048)</f>
        <v/>
      </c>
      <c r="AP632" t="str">
        <f>IF(Data!$D$10="Square","","-"&amp;Data!BM150&amp;","&amp;Data!BM149&amp;","&amp;Data!$D$27*0.3048)</f>
        <v/>
      </c>
      <c r="AQ632" t="str">
        <f>IF(Data!$D$10="Square","","-"&amp;Data!BN150&amp;","&amp;Data!BN149&amp;","&amp;Data!$D$27*0.3048)</f>
        <v/>
      </c>
      <c r="AR632" t="str">
        <f>IF(Data!$D$10="Square","","-"&amp;Data!AE150&amp;","&amp;Data!AE149&amp;","&amp;Data!$D$27*0.3048)</f>
        <v/>
      </c>
    </row>
    <row r="633" spans="3:44" x14ac:dyDescent="0.25">
      <c r="F633" t="s">
        <v>887</v>
      </c>
    </row>
    <row r="634" spans="3:44" x14ac:dyDescent="0.25">
      <c r="E634" t="s">
        <v>256</v>
      </c>
    </row>
    <row r="635" spans="3:44" x14ac:dyDescent="0.25">
      <c r="D635" t="s">
        <v>257</v>
      </c>
    </row>
    <row r="636" spans="3:44" x14ac:dyDescent="0.25">
      <c r="C636" t="s">
        <v>258</v>
      </c>
    </row>
    <row r="637" spans="3:44" x14ac:dyDescent="0.25">
      <c r="C637" t="s">
        <v>248</v>
      </c>
    </row>
    <row r="638" spans="3:44" x14ac:dyDescent="0.25">
      <c r="D638" t="s">
        <v>419</v>
      </c>
    </row>
    <row r="639" spans="3:44" x14ac:dyDescent="0.25">
      <c r="D639" t="s">
        <v>420</v>
      </c>
    </row>
    <row r="640" spans="3:44" x14ac:dyDescent="0.25">
      <c r="D640" t="s">
        <v>249</v>
      </c>
    </row>
    <row r="641" spans="3:44" x14ac:dyDescent="0.25">
      <c r="E641" t="s">
        <v>748</v>
      </c>
    </row>
    <row r="642" spans="3:44" x14ac:dyDescent="0.25">
      <c r="E642" t="s">
        <v>253</v>
      </c>
    </row>
    <row r="643" spans="3:44" x14ac:dyDescent="0.25">
      <c r="F643" t="s">
        <v>254</v>
      </c>
    </row>
    <row r="644" spans="3:44" x14ac:dyDescent="0.25">
      <c r="G644" t="s">
        <v>886</v>
      </c>
      <c r="H644" t="str">
        <f ca="1">IF(Data!$D$10="Square","-"&amp;Data!AN34&amp;","&amp;Data!AN33&amp;","&amp;Data!$D$27*0.3048,"-"&amp;Data!AE173&amp;","&amp;Data!AE172&amp;","&amp;Data!$D$27*0.3048)</f>
        <v>-80.1342253200002,26.0585117286406,4.2672</v>
      </c>
      <c r="I644" t="str">
        <f ca="1">IF(Data!$D$10="Square","-"&amp;Data!AO34&amp;","&amp;Data!AO33&amp;","&amp;Data!$D$27*0.3048,"-"&amp;Data!AF173&amp;","&amp;Data!AF172&amp;","&amp;Data!$D$27*0.3048)</f>
        <v>-80.1342253200002,26.0583216113582,4.2672</v>
      </c>
      <c r="J644" t="str">
        <f ca="1">IF(Data!$D$10="Square","-"&amp;Data!AP34&amp;","&amp;Data!AP33&amp;","&amp;Data!$D$27*0.3048,"-"&amp;Data!AG173&amp;","&amp;Data!AG172&amp;","&amp;Data!$D$27*0.3048)</f>
        <v>-80.1344358000002,26.0583216113582,4.2672</v>
      </c>
      <c r="K644" t="str">
        <f ca="1">IF(Data!$D$10="Square","-"&amp;Data!AQ34&amp;","&amp;Data!AQ33&amp;","&amp;Data!$D$27*0.3048,"-"&amp;Data!AH173&amp;","&amp;Data!AH172&amp;","&amp;Data!$D$27*0.3048)</f>
        <v>-80.1344358000002,26.0585117286406,4.2672</v>
      </c>
      <c r="L644" t="str">
        <f ca="1">IF(Data!$D$10="Square","-"&amp;Data!AN34&amp;","&amp;Data!AN33&amp;","&amp;Data!$D$27*0.3048,"-"&amp;Data!AI173&amp;","&amp;Data!AI172&amp;","&amp;Data!$D$27*0.3048)</f>
        <v>-80.1342253200002,26.0585117286406,4.2672</v>
      </c>
      <c r="M644" t="str">
        <f>IF(Data!$D$10="Square","","-"&amp;Data!AJ173&amp;","&amp;Data!AJ172&amp;","&amp;Data!$D$27*0.3048)</f>
        <v/>
      </c>
      <c r="N644" t="str">
        <f>IF(Data!$D$10="Square","","-"&amp;Data!AK173&amp;","&amp;Data!AK172&amp;","&amp;Data!$D$27*0.3048)</f>
        <v/>
      </c>
      <c r="O644" t="str">
        <f>IF(Data!$D$10="Square","","-"&amp;Data!AL173&amp;","&amp;Data!AL172&amp;","&amp;Data!$D$27*0.3048)</f>
        <v/>
      </c>
      <c r="P644" t="str">
        <f>IF(Data!$D$10="Square","","-"&amp;Data!AM173&amp;","&amp;Data!AM172&amp;","&amp;Data!$D$27*0.3048)</f>
        <v/>
      </c>
      <c r="Q644" t="str">
        <f>IF(Data!$D$10="Square","","-"&amp;Data!AN173&amp;","&amp;Data!AN172&amp;","&amp;Data!$D$27*0.3048)</f>
        <v/>
      </c>
      <c r="R644" t="str">
        <f>IF(Data!$D$10="Square","","-"&amp;Data!AO173&amp;","&amp;Data!AO172&amp;","&amp;Data!$D$27*0.3048)</f>
        <v/>
      </c>
      <c r="S644" t="str">
        <f>IF(Data!$D$10="Square","","-"&amp;Data!AP173&amp;","&amp;Data!AP172&amp;","&amp;Data!$D$27*0.3048)</f>
        <v/>
      </c>
      <c r="T644" t="str">
        <f>IF(Data!$D$10="Square","","-"&amp;Data!AQ173&amp;","&amp;Data!AQ172&amp;","&amp;Data!$D$27*0.3048)</f>
        <v/>
      </c>
      <c r="U644" t="str">
        <f>IF(Data!$D$10="Square","","-"&amp;Data!AR173&amp;","&amp;Data!AR172&amp;","&amp;Data!$D$27*0.3048)</f>
        <v/>
      </c>
      <c r="V644" t="str">
        <f>IF(Data!$D$10="Square","","-"&amp;Data!AS173&amp;","&amp;Data!AS172&amp;","&amp;Data!$D$27*0.3048)</f>
        <v/>
      </c>
      <c r="W644" t="str">
        <f>IF(Data!$D$10="Square","","-"&amp;Data!AT173&amp;","&amp;Data!AT172&amp;","&amp;Data!$D$27*0.3048)</f>
        <v/>
      </c>
      <c r="X644" t="str">
        <f>IF(Data!$D$10="Square","","-"&amp;Data!AU173&amp;","&amp;Data!AU172&amp;","&amp;Data!$D$27*0.3048)</f>
        <v/>
      </c>
      <c r="Y644" t="str">
        <f>IF(Data!$D$10="Square","","-"&amp;Data!AV173&amp;","&amp;Data!AV172&amp;","&amp;Data!$D$27*0.3048)</f>
        <v/>
      </c>
      <c r="Z644" t="str">
        <f>IF(Data!$D$10="Square","","-"&amp;Data!AW173&amp;","&amp;Data!AW172&amp;","&amp;Data!$D$27*0.3048)</f>
        <v/>
      </c>
      <c r="AA644" t="str">
        <f>IF(Data!$D$10="Square","","-"&amp;Data!AX173&amp;","&amp;Data!AX172&amp;","&amp;Data!$D$27*0.3048)</f>
        <v/>
      </c>
      <c r="AB644" t="str">
        <f>IF(Data!$D$10="Square","","-"&amp;Data!AY173&amp;","&amp;Data!AY172&amp;","&amp;Data!$D$27*0.3048)</f>
        <v/>
      </c>
      <c r="AC644" t="str">
        <f>IF(Data!$D$10="Square","","-"&amp;Data!AZ173&amp;","&amp;Data!AZ172&amp;","&amp;Data!$D$27*0.3048)</f>
        <v/>
      </c>
      <c r="AD644" t="str">
        <f>IF(Data!$D$10="Square","","-"&amp;Data!BA173&amp;","&amp;Data!BA172&amp;","&amp;Data!$D$27*0.3048)</f>
        <v/>
      </c>
      <c r="AE644" t="str">
        <f>IF(Data!$D$10="Square","","-"&amp;Data!BB173&amp;","&amp;Data!BB172&amp;","&amp;Data!$D$27*0.3048)</f>
        <v/>
      </c>
      <c r="AF644" t="str">
        <f>IF(Data!$D$10="Square","","-"&amp;Data!BC173&amp;","&amp;Data!BC172&amp;","&amp;Data!$D$27*0.3048)</f>
        <v/>
      </c>
      <c r="AG644" t="str">
        <f>IF(Data!$D$10="Square","","-"&amp;Data!BD173&amp;","&amp;Data!BD172&amp;","&amp;Data!$D$27*0.3048)</f>
        <v/>
      </c>
      <c r="AH644" t="str">
        <f>IF(Data!$D$10="Square","","-"&amp;Data!BE173&amp;","&amp;Data!BE172&amp;","&amp;Data!$D$27*0.3048)</f>
        <v/>
      </c>
      <c r="AI644" t="str">
        <f>IF(Data!$D$10="Square","","-"&amp;Data!BF173&amp;","&amp;Data!BF172&amp;","&amp;Data!$D$27*0.3048)</f>
        <v/>
      </c>
      <c r="AJ644" t="str">
        <f>IF(Data!$D$10="Square","","-"&amp;Data!BG173&amp;","&amp;Data!BG172&amp;","&amp;Data!$D$27*0.3048)</f>
        <v/>
      </c>
      <c r="AK644" t="str">
        <f>IF(Data!$D$10="Square","","-"&amp;Data!BH173&amp;","&amp;Data!BH172&amp;","&amp;Data!$D$27*0.3048)</f>
        <v/>
      </c>
      <c r="AL644" t="str">
        <f>IF(Data!$D$10="Square","","-"&amp;Data!BI173&amp;","&amp;Data!BI172&amp;","&amp;Data!$D$27*0.3048)</f>
        <v/>
      </c>
      <c r="AM644" t="str">
        <f>IF(Data!$D$10="Square","","-"&amp;Data!BJ173&amp;","&amp;Data!BJ172&amp;","&amp;Data!$D$27*0.3048)</f>
        <v/>
      </c>
      <c r="AN644" t="str">
        <f>IF(Data!$D$10="Square","","-"&amp;Data!BK173&amp;","&amp;Data!BK172&amp;","&amp;Data!$D$27*0.3048)</f>
        <v/>
      </c>
      <c r="AO644" t="str">
        <f>IF(Data!$D$10="Square","","-"&amp;Data!BL173&amp;","&amp;Data!BL172&amp;","&amp;Data!$D$27*0.3048)</f>
        <v/>
      </c>
      <c r="AP644" t="str">
        <f>IF(Data!$D$10="Square","","-"&amp;Data!BM173&amp;","&amp;Data!BM172&amp;","&amp;Data!$D$27*0.3048)</f>
        <v/>
      </c>
      <c r="AQ644" t="str">
        <f>IF(Data!$D$10="Square","","-"&amp;Data!BN173&amp;","&amp;Data!BN172&amp;","&amp;Data!$D$27*0.3048)</f>
        <v/>
      </c>
      <c r="AR644" t="str">
        <f>IF(Data!$D$10="Square","","-"&amp;Data!AE173&amp;","&amp;Data!AE172&amp;","&amp;Data!$D$27*0.3048)</f>
        <v/>
      </c>
    </row>
    <row r="645" spans="3:44" x14ac:dyDescent="0.25">
      <c r="F645" t="s">
        <v>887</v>
      </c>
    </row>
    <row r="646" spans="3:44" x14ac:dyDescent="0.25">
      <c r="E646" t="s">
        <v>256</v>
      </c>
    </row>
    <row r="647" spans="3:44" x14ac:dyDescent="0.25">
      <c r="D647" t="s">
        <v>257</v>
      </c>
    </row>
    <row r="648" spans="3:44" x14ac:dyDescent="0.25">
      <c r="C648" t="s">
        <v>258</v>
      </c>
    </row>
    <row r="649" spans="3:44" x14ac:dyDescent="0.25">
      <c r="C649" t="s">
        <v>248</v>
      </c>
    </row>
    <row r="650" spans="3:44" x14ac:dyDescent="0.25">
      <c r="D650" t="s">
        <v>421</v>
      </c>
    </row>
    <row r="651" spans="3:44" x14ac:dyDescent="0.25">
      <c r="D651" t="s">
        <v>422</v>
      </c>
    </row>
    <row r="652" spans="3:44" x14ac:dyDescent="0.25">
      <c r="D652" t="s">
        <v>249</v>
      </c>
    </row>
    <row r="653" spans="3:44" x14ac:dyDescent="0.25">
      <c r="E653" t="s">
        <v>748</v>
      </c>
    </row>
    <row r="654" spans="3:44" x14ac:dyDescent="0.25">
      <c r="E654" t="s">
        <v>253</v>
      </c>
    </row>
    <row r="655" spans="3:44" x14ac:dyDescent="0.25">
      <c r="F655" t="s">
        <v>254</v>
      </c>
    </row>
    <row r="656" spans="3:44" x14ac:dyDescent="0.25">
      <c r="G656" t="s">
        <v>886</v>
      </c>
      <c r="H656" t="str">
        <f ca="1">IF(Data!$D$10="Square","-"&amp;Data!AT34&amp;","&amp;Data!AT33&amp;","&amp;Data!$D$27*0.3048,"-"&amp;Data!AE196&amp;","&amp;Data!AE195&amp;","&amp;Data!$D$27*0.3048)</f>
        <v>-80.1341888100002,26.0585446987362,4.2672</v>
      </c>
      <c r="I656" t="str">
        <f ca="1">IF(Data!$D$10="Square","-"&amp;Data!AU34&amp;","&amp;Data!AU33&amp;","&amp;Data!$D$27*0.3048,"-"&amp;Data!AF196&amp;","&amp;Data!AF195&amp;","&amp;Data!$D$27*0.3048)</f>
        <v>-80.1341888100002,26.0582886412616,4.2672</v>
      </c>
      <c r="J656" t="str">
        <f ca="1">IF(Data!$D$10="Square","-"&amp;Data!AV34&amp;","&amp;Data!AV33&amp;","&amp;Data!$D$27*0.3048,"-"&amp;Data!AG196&amp;","&amp;Data!AG195&amp;","&amp;Data!$D$27*0.3048)</f>
        <v>-80.1344723100002,26.0582886412616,4.2672</v>
      </c>
      <c r="K656" t="str">
        <f ca="1">IF(Data!$D$10="Square","-"&amp;Data!AW34&amp;","&amp;Data!AW33&amp;","&amp;Data!$D$27*0.3048,"-"&amp;Data!AH196&amp;","&amp;Data!AH195&amp;","&amp;Data!$D$27*0.3048)</f>
        <v>-80.1344723100002,26.0585446987362,4.2672</v>
      </c>
      <c r="L656" t="str">
        <f ca="1">IF(Data!$D$10="Square","-"&amp;Data!AT34&amp;","&amp;Data!AT33&amp;","&amp;Data!$D$27*0.3048,"-"&amp;Data!AI196&amp;","&amp;Data!AI195&amp;","&amp;Data!$D$27*0.3048)</f>
        <v>-80.1341888100002,26.0585446987362,4.2672</v>
      </c>
      <c r="M656" t="str">
        <f>IF(Data!$D$10="Square","","-"&amp;Data!AJ196&amp;","&amp;Data!AJ195&amp;","&amp;Data!$D$27*0.3048)</f>
        <v/>
      </c>
      <c r="N656" t="str">
        <f>IF(Data!$D$10="Square","","-"&amp;Data!AK196&amp;","&amp;Data!AK195&amp;","&amp;Data!$D$27*0.3048)</f>
        <v/>
      </c>
      <c r="O656" t="str">
        <f>IF(Data!$D$10="Square","","-"&amp;Data!AL196&amp;","&amp;Data!AL195&amp;","&amp;Data!$D$27*0.3048)</f>
        <v/>
      </c>
      <c r="P656" t="str">
        <f>IF(Data!$D$10="Square","","-"&amp;Data!AM196&amp;","&amp;Data!AM195&amp;","&amp;Data!$D$27*0.3048)</f>
        <v/>
      </c>
      <c r="Q656" t="str">
        <f>IF(Data!$D$10="Square","","-"&amp;Data!AN196&amp;","&amp;Data!AN195&amp;","&amp;Data!$D$27*0.3048)</f>
        <v/>
      </c>
      <c r="R656" t="str">
        <f>IF(Data!$D$10="Square","","-"&amp;Data!AO196&amp;","&amp;Data!AO195&amp;","&amp;Data!$D$27*0.3048)</f>
        <v/>
      </c>
      <c r="S656" t="str">
        <f>IF(Data!$D$10="Square","","-"&amp;Data!AP196&amp;","&amp;Data!AP195&amp;","&amp;Data!$D$27*0.3048)</f>
        <v/>
      </c>
      <c r="T656" t="str">
        <f>IF(Data!$D$10="Square","","-"&amp;Data!AQ196&amp;","&amp;Data!AQ195&amp;","&amp;Data!$D$27*0.3048)</f>
        <v/>
      </c>
      <c r="U656" t="str">
        <f>IF(Data!$D$10="Square","","-"&amp;Data!AR196&amp;","&amp;Data!AR195&amp;","&amp;Data!$D$27*0.3048)</f>
        <v/>
      </c>
      <c r="V656" t="str">
        <f>IF(Data!$D$10="Square","","-"&amp;Data!AS196&amp;","&amp;Data!AS195&amp;","&amp;Data!$D$27*0.3048)</f>
        <v/>
      </c>
      <c r="W656" t="str">
        <f>IF(Data!$D$10="Square","","-"&amp;Data!AT196&amp;","&amp;Data!AT195&amp;","&amp;Data!$D$27*0.3048)</f>
        <v/>
      </c>
      <c r="X656" t="str">
        <f>IF(Data!$D$10="Square","","-"&amp;Data!AU196&amp;","&amp;Data!AU195&amp;","&amp;Data!$D$27*0.3048)</f>
        <v/>
      </c>
      <c r="Y656" t="str">
        <f>IF(Data!$D$10="Square","","-"&amp;Data!AV196&amp;","&amp;Data!AV195&amp;","&amp;Data!$D$27*0.3048)</f>
        <v/>
      </c>
      <c r="Z656" t="str">
        <f>IF(Data!$D$10="Square","","-"&amp;Data!AW196&amp;","&amp;Data!AW195&amp;","&amp;Data!$D$27*0.3048)</f>
        <v/>
      </c>
      <c r="AA656" t="str">
        <f>IF(Data!$D$10="Square","","-"&amp;Data!AX196&amp;","&amp;Data!AX195&amp;","&amp;Data!$D$27*0.3048)</f>
        <v/>
      </c>
      <c r="AB656" t="str">
        <f>IF(Data!$D$10="Square","","-"&amp;Data!AY196&amp;","&amp;Data!AY195&amp;","&amp;Data!$D$27*0.3048)</f>
        <v/>
      </c>
      <c r="AC656" t="str">
        <f>IF(Data!$D$10="Square","","-"&amp;Data!AZ196&amp;","&amp;Data!AZ195&amp;","&amp;Data!$D$27*0.3048)</f>
        <v/>
      </c>
      <c r="AD656" t="str">
        <f>IF(Data!$D$10="Square","","-"&amp;Data!BA196&amp;","&amp;Data!BA195&amp;","&amp;Data!$D$27*0.3048)</f>
        <v/>
      </c>
      <c r="AE656" t="str">
        <f>IF(Data!$D$10="Square","","-"&amp;Data!BB196&amp;","&amp;Data!BB195&amp;","&amp;Data!$D$27*0.3048)</f>
        <v/>
      </c>
      <c r="AF656" t="str">
        <f>IF(Data!$D$10="Square","","-"&amp;Data!BC196&amp;","&amp;Data!BC195&amp;","&amp;Data!$D$27*0.3048)</f>
        <v/>
      </c>
      <c r="AG656" t="str">
        <f>IF(Data!$D$10="Square","","-"&amp;Data!BD196&amp;","&amp;Data!BD195&amp;","&amp;Data!$D$27*0.3048)</f>
        <v/>
      </c>
      <c r="AH656" t="str">
        <f>IF(Data!$D$10="Square","","-"&amp;Data!BE196&amp;","&amp;Data!BE195&amp;","&amp;Data!$D$27*0.3048)</f>
        <v/>
      </c>
      <c r="AI656" t="str">
        <f>IF(Data!$D$10="Square","","-"&amp;Data!BF196&amp;","&amp;Data!BF195&amp;","&amp;Data!$D$27*0.3048)</f>
        <v/>
      </c>
      <c r="AJ656" t="str">
        <f>IF(Data!$D$10="Square","","-"&amp;Data!BG196&amp;","&amp;Data!BG195&amp;","&amp;Data!$D$27*0.3048)</f>
        <v/>
      </c>
      <c r="AK656" t="str">
        <f>IF(Data!$D$10="Square","","-"&amp;Data!BH196&amp;","&amp;Data!BH195&amp;","&amp;Data!$D$27*0.3048)</f>
        <v/>
      </c>
      <c r="AL656" t="str">
        <f>IF(Data!$D$10="Square","","-"&amp;Data!BI196&amp;","&amp;Data!BI195&amp;","&amp;Data!$D$27*0.3048)</f>
        <v/>
      </c>
      <c r="AM656" t="str">
        <f>IF(Data!$D$10="Square","","-"&amp;Data!BJ196&amp;","&amp;Data!BJ195&amp;","&amp;Data!$D$27*0.3048)</f>
        <v/>
      </c>
      <c r="AN656" t="str">
        <f>IF(Data!$D$10="Square","","-"&amp;Data!BK196&amp;","&amp;Data!BK195&amp;","&amp;Data!$D$27*0.3048)</f>
        <v/>
      </c>
      <c r="AO656" t="str">
        <f>IF(Data!$D$10="Square","","-"&amp;Data!BL196&amp;","&amp;Data!BL195&amp;","&amp;Data!$D$27*0.3048)</f>
        <v/>
      </c>
      <c r="AP656" t="str">
        <f>IF(Data!$D$10="Square","","-"&amp;Data!BM196&amp;","&amp;Data!BM195&amp;","&amp;Data!$D$27*0.3048)</f>
        <v/>
      </c>
      <c r="AQ656" t="str">
        <f>IF(Data!$D$10="Square","","-"&amp;Data!BN196&amp;","&amp;Data!BN195&amp;","&amp;Data!$D$27*0.3048)</f>
        <v/>
      </c>
      <c r="AR656" t="str">
        <f>IF(Data!$D$10="Square","","-"&amp;Data!AE196&amp;","&amp;Data!AE195&amp;","&amp;Data!$D$27*0.3048)</f>
        <v/>
      </c>
    </row>
    <row r="657" spans="3:6" x14ac:dyDescent="0.25">
      <c r="F657" t="s">
        <v>887</v>
      </c>
    </row>
    <row r="658" spans="3:6" x14ac:dyDescent="0.25">
      <c r="E658" t="s">
        <v>256</v>
      </c>
    </row>
    <row r="659" spans="3:6" x14ac:dyDescent="0.25">
      <c r="D659" t="s">
        <v>257</v>
      </c>
    </row>
    <row r="660" spans="3:6" x14ac:dyDescent="0.25">
      <c r="C660" t="s">
        <v>258</v>
      </c>
    </row>
    <row r="661" spans="3:6" x14ac:dyDescent="0.25">
      <c r="C661" t="s">
        <v>246</v>
      </c>
    </row>
    <row r="662" spans="3:6" x14ac:dyDescent="0.25">
      <c r="D662" t="s">
        <v>423</v>
      </c>
    </row>
    <row r="663" spans="3:6" x14ac:dyDescent="0.25">
      <c r="D663" t="s">
        <v>425</v>
      </c>
    </row>
    <row r="664" spans="3:6" x14ac:dyDescent="0.25">
      <c r="D664" t="str">
        <f ca="1">IF(AND(Obstacles!C11="",Obstacles!D11="",Obstacles!E11="",Obstacles!G11="",Obstacles!H11="",Obstacles!I11=""),"","&lt;Placemark&gt;&lt;name&gt;Obstacle "&amp;Obstacles!A11&amp;" - "&amp;Obstacles!B11&amp;"&lt;/name&gt;&lt;styleUrl&gt;"&amp;IF(Obstacles!CC11="No","#msn_flag","#redflag1")&amp;"&lt;/styleUrl&gt;&lt;Point&gt;&lt;extrude&gt;1&lt;/extrude&gt;&lt;altitudeMode&gt;absolute&lt;/altitudeMode&gt;&lt;coordinates&gt;"&amp;Obstacles!T11&amp;","&amp;Obstacles!U11&amp;","&amp;Obstacles!V11+Obstacles!$C$4*0.3048&amp;"&lt;/coordinates&gt;&lt;/Point&gt;&lt;/Placemark&gt;")</f>
        <v>&lt;Placemark&gt;&lt;name&gt;Obstacle 1 - EXAMPLE 1&lt;/name&gt;&lt;styleUrl&gt;#redflag1&lt;/styleUrl&gt;&lt;Point&gt;&lt;extrude&gt;1&lt;/extrude&gt;&lt;altitudeMode&gt;absolute&lt;/altitudeMode&gt;&lt;coordinates&gt;-80.1346117459621,26.0580102211959,32.4969240017344&lt;/coordinates&gt;&lt;/Point&gt;&lt;/Placemark&gt;</v>
      </c>
    </row>
    <row r="665" spans="3:6" x14ac:dyDescent="0.25">
      <c r="D665" t="str">
        <f>IF(AND(Obstacles!C12="",Obstacles!D12="",Obstacles!E12="",Obstacles!G12="",Obstacles!H12="",Obstacles!I12=""),"","&lt;Placemark&gt;&lt;name&gt;Obstacle "&amp;Obstacles!A12&amp;" - "&amp;Obstacles!B12&amp;"&lt;/name&gt;&lt;styleUrl&gt;"&amp;IF(Obstacles!CC12="No","#msn_flag","#redflag1")&amp;"&lt;/styleUrl&gt;&lt;Point&gt;&lt;extrude&gt;1&lt;/extrude&gt;&lt;altitudeMode&gt;absolute&lt;/altitudeMode&gt;&lt;coordinates&gt;"&amp;Obstacles!T12&amp;","&amp;Obstacles!U12&amp;","&amp;Obstacles!V12+Obstacles!$C$4*0.3048&amp;"&lt;/coordinates&gt;&lt;/Point&gt;&lt;/Placemark&gt;")</f>
        <v/>
      </c>
    </row>
    <row r="666" spans="3:6" x14ac:dyDescent="0.25">
      <c r="D666" t="str">
        <f>IF(AND(Obstacles!C13="",Obstacles!D13="",Obstacles!E13="",Obstacles!G13="",Obstacles!H13="",Obstacles!I13=""),"","&lt;Placemark&gt;&lt;name&gt;Obstacle "&amp;Obstacles!A13&amp;" - "&amp;Obstacles!B13&amp;"&lt;/name&gt;&lt;styleUrl&gt;"&amp;IF(Obstacles!CC13="No","#msn_flag","#redflag1")&amp;"&lt;/styleUrl&gt;&lt;Point&gt;&lt;extrude&gt;1&lt;/extrude&gt;&lt;altitudeMode&gt;absolute&lt;/altitudeMode&gt;&lt;coordinates&gt;"&amp;Obstacles!T13&amp;","&amp;Obstacles!U13&amp;","&amp;Obstacles!V13+Obstacles!$C$4*0.3048&amp;"&lt;/coordinates&gt;&lt;/Point&gt;&lt;/Placemark&gt;")</f>
        <v/>
      </c>
    </row>
    <row r="667" spans="3:6" x14ac:dyDescent="0.25">
      <c r="D667" t="str">
        <f>IF(AND(Obstacles!C14="",Obstacles!D14="",Obstacles!E14="",Obstacles!G14="",Obstacles!H14="",Obstacles!I14=""),"","&lt;Placemark&gt;&lt;name&gt;Obstacle "&amp;Obstacles!A14&amp;" - "&amp;Obstacles!B14&amp;"&lt;/name&gt;&lt;styleUrl&gt;"&amp;IF(Obstacles!CC14="No","#msn_flag","#redflag1")&amp;"&lt;/styleUrl&gt;&lt;Point&gt;&lt;extrude&gt;1&lt;/extrude&gt;&lt;altitudeMode&gt;absolute&lt;/altitudeMode&gt;&lt;coordinates&gt;"&amp;Obstacles!T14&amp;","&amp;Obstacles!U14&amp;","&amp;Obstacles!V14+Obstacles!$C$4*0.3048&amp;"&lt;/coordinates&gt;&lt;/Point&gt;&lt;/Placemark&gt;")</f>
        <v/>
      </c>
    </row>
    <row r="668" spans="3:6" x14ac:dyDescent="0.25">
      <c r="D668" t="str">
        <f>IF(AND(Obstacles!C15="",Obstacles!D15="",Obstacles!E15="",Obstacles!G15="",Obstacles!H15="",Obstacles!I15=""),"","&lt;Placemark&gt;&lt;name&gt;Obstacle "&amp;Obstacles!A15&amp;" - "&amp;Obstacles!B15&amp;"&lt;/name&gt;&lt;styleUrl&gt;"&amp;IF(Obstacles!CC15="No","#msn_flag","#redflag1")&amp;"&lt;/styleUrl&gt;&lt;Point&gt;&lt;extrude&gt;1&lt;/extrude&gt;&lt;altitudeMode&gt;absolute&lt;/altitudeMode&gt;&lt;coordinates&gt;"&amp;Obstacles!T15&amp;","&amp;Obstacles!U15&amp;","&amp;Obstacles!V15+Obstacles!$C$4*0.3048&amp;"&lt;/coordinates&gt;&lt;/Point&gt;&lt;/Placemark&gt;")</f>
        <v/>
      </c>
    </row>
    <row r="669" spans="3:6" x14ac:dyDescent="0.25">
      <c r="D669" t="str">
        <f>IF(AND(Obstacles!C16="",Obstacles!D16="",Obstacles!E16="",Obstacles!G16="",Obstacles!H16="",Obstacles!I16=""),"","&lt;Placemark&gt;&lt;name&gt;Obstacle "&amp;Obstacles!A16&amp;" - "&amp;Obstacles!B16&amp;"&lt;/name&gt;&lt;styleUrl&gt;"&amp;IF(Obstacles!CC16="No","#msn_flag","#redflag1")&amp;"&lt;/styleUrl&gt;&lt;Point&gt;&lt;extrude&gt;1&lt;/extrude&gt;&lt;altitudeMode&gt;absolute&lt;/altitudeMode&gt;&lt;coordinates&gt;"&amp;Obstacles!T16&amp;","&amp;Obstacles!U16&amp;","&amp;Obstacles!V16+Obstacles!$C$4*0.3048&amp;"&lt;/coordinates&gt;&lt;/Point&gt;&lt;/Placemark&gt;")</f>
        <v/>
      </c>
    </row>
    <row r="670" spans="3:6" x14ac:dyDescent="0.25">
      <c r="D670" t="str">
        <f>IF(AND(Obstacles!C17="",Obstacles!D17="",Obstacles!E17="",Obstacles!G17="",Obstacles!H17="",Obstacles!I17=""),"","&lt;Placemark&gt;&lt;name&gt;Obstacle "&amp;Obstacles!A17&amp;" - "&amp;Obstacles!B17&amp;"&lt;/name&gt;&lt;styleUrl&gt;"&amp;IF(Obstacles!CC17="No","#msn_flag","#redflag1")&amp;"&lt;/styleUrl&gt;&lt;Point&gt;&lt;extrude&gt;1&lt;/extrude&gt;&lt;altitudeMode&gt;absolute&lt;/altitudeMode&gt;&lt;coordinates&gt;"&amp;Obstacles!T17&amp;","&amp;Obstacles!U17&amp;","&amp;Obstacles!V17+Obstacles!$C$4*0.3048&amp;"&lt;/coordinates&gt;&lt;/Point&gt;&lt;/Placemark&gt;")</f>
        <v/>
      </c>
    </row>
    <row r="671" spans="3:6" x14ac:dyDescent="0.25">
      <c r="D671" t="str">
        <f>IF(AND(Obstacles!C18="",Obstacles!D18="",Obstacles!E18="",Obstacles!G18="",Obstacles!H18="",Obstacles!I18=""),"","&lt;Placemark&gt;&lt;name&gt;Obstacle "&amp;Obstacles!A18&amp;" - "&amp;Obstacles!B18&amp;"&lt;/name&gt;&lt;styleUrl&gt;"&amp;IF(Obstacles!CC18="No","#msn_flag","#redflag1")&amp;"&lt;/styleUrl&gt;&lt;Point&gt;&lt;extrude&gt;1&lt;/extrude&gt;&lt;altitudeMode&gt;absolute&lt;/altitudeMode&gt;&lt;coordinates&gt;"&amp;Obstacles!T18&amp;","&amp;Obstacles!U18&amp;","&amp;Obstacles!V18+Obstacles!$C$4*0.3048&amp;"&lt;/coordinates&gt;&lt;/Point&gt;&lt;/Placemark&gt;")</f>
        <v/>
      </c>
    </row>
    <row r="672" spans="3:6" x14ac:dyDescent="0.25">
      <c r="D672" t="str">
        <f>IF(AND(Obstacles!C19="",Obstacles!D19="",Obstacles!E19="",Obstacles!G19="",Obstacles!H19="",Obstacles!I19=""),"","&lt;Placemark&gt;&lt;name&gt;Obstacle "&amp;Obstacles!A19&amp;" - "&amp;Obstacles!B19&amp;"&lt;/name&gt;&lt;styleUrl&gt;"&amp;IF(Obstacles!CC19="No","#msn_flag","#redflag1")&amp;"&lt;/styleUrl&gt;&lt;Point&gt;&lt;extrude&gt;1&lt;/extrude&gt;&lt;altitudeMode&gt;absolute&lt;/altitudeMode&gt;&lt;coordinates&gt;"&amp;Obstacles!T19&amp;","&amp;Obstacles!U19&amp;","&amp;Obstacles!V19+Obstacles!$C$4*0.3048&amp;"&lt;/coordinates&gt;&lt;/Point&gt;&lt;/Placemark&gt;")</f>
        <v/>
      </c>
    </row>
    <row r="673" spans="4:4" x14ac:dyDescent="0.25">
      <c r="D673" t="str">
        <f>IF(AND(Obstacles!C20="",Obstacles!D20="",Obstacles!E20="",Obstacles!G20="",Obstacles!H20="",Obstacles!I20=""),"","&lt;Placemark&gt;&lt;name&gt;Obstacle "&amp;Obstacles!A20&amp;" - "&amp;Obstacles!B20&amp;"&lt;/name&gt;&lt;styleUrl&gt;"&amp;IF(Obstacles!CC20="No","#msn_flag","#redflag1")&amp;"&lt;/styleUrl&gt;&lt;Point&gt;&lt;extrude&gt;1&lt;/extrude&gt;&lt;altitudeMode&gt;absolute&lt;/altitudeMode&gt;&lt;coordinates&gt;"&amp;Obstacles!T20&amp;","&amp;Obstacles!U20&amp;","&amp;Obstacles!V20+Obstacles!$C$4*0.3048&amp;"&lt;/coordinates&gt;&lt;/Point&gt;&lt;/Placemark&gt;")</f>
        <v/>
      </c>
    </row>
    <row r="674" spans="4:4" x14ac:dyDescent="0.25">
      <c r="D674" t="str">
        <f>IF(AND(Obstacles!C21="",Obstacles!D21="",Obstacles!E21="",Obstacles!G21="",Obstacles!H21="",Obstacles!I21=""),"","&lt;Placemark&gt;&lt;name&gt;Obstacle "&amp;Obstacles!A21&amp;" - "&amp;Obstacles!B21&amp;"&lt;/name&gt;&lt;styleUrl&gt;"&amp;IF(Obstacles!CC21="No","#msn_flag","#redflag1")&amp;"&lt;/styleUrl&gt;&lt;Point&gt;&lt;extrude&gt;1&lt;/extrude&gt;&lt;altitudeMode&gt;absolute&lt;/altitudeMode&gt;&lt;coordinates&gt;"&amp;Obstacles!T21&amp;","&amp;Obstacles!U21&amp;","&amp;Obstacles!V21+Obstacles!$C$4*0.3048&amp;"&lt;/coordinates&gt;&lt;/Point&gt;&lt;/Placemark&gt;")</f>
        <v/>
      </c>
    </row>
    <row r="675" spans="4:4" x14ac:dyDescent="0.25">
      <c r="D675" t="str">
        <f>IF(AND(Obstacles!C22="",Obstacles!D22="",Obstacles!E22="",Obstacles!G22="",Obstacles!H22="",Obstacles!I22=""),"","&lt;Placemark&gt;&lt;name&gt;Obstacle "&amp;Obstacles!A22&amp;" - "&amp;Obstacles!B22&amp;"&lt;/name&gt;&lt;styleUrl&gt;"&amp;IF(Obstacles!CC22="No","#msn_flag","#redflag1")&amp;"&lt;/styleUrl&gt;&lt;Point&gt;&lt;extrude&gt;1&lt;/extrude&gt;&lt;altitudeMode&gt;absolute&lt;/altitudeMode&gt;&lt;coordinates&gt;"&amp;Obstacles!T22&amp;","&amp;Obstacles!U22&amp;","&amp;Obstacles!V22+Obstacles!$C$4*0.3048&amp;"&lt;/coordinates&gt;&lt;/Point&gt;&lt;/Placemark&gt;")</f>
        <v/>
      </c>
    </row>
    <row r="676" spans="4:4" x14ac:dyDescent="0.25">
      <c r="D676" t="str">
        <f>IF(AND(Obstacles!C23="",Obstacles!D23="",Obstacles!E23="",Obstacles!G23="",Obstacles!H23="",Obstacles!I23=""),"","&lt;Placemark&gt;&lt;name&gt;Obstacle "&amp;Obstacles!A23&amp;" - "&amp;Obstacles!B23&amp;"&lt;/name&gt;&lt;styleUrl&gt;"&amp;IF(Obstacles!CC23="No","#msn_flag","#redflag1")&amp;"&lt;/styleUrl&gt;&lt;Point&gt;&lt;extrude&gt;1&lt;/extrude&gt;&lt;altitudeMode&gt;absolute&lt;/altitudeMode&gt;&lt;coordinates&gt;"&amp;Obstacles!T23&amp;","&amp;Obstacles!U23&amp;","&amp;Obstacles!V23+Obstacles!$C$4*0.3048&amp;"&lt;/coordinates&gt;&lt;/Point&gt;&lt;/Placemark&gt;")</f>
        <v/>
      </c>
    </row>
    <row r="677" spans="4:4" x14ac:dyDescent="0.25">
      <c r="D677" t="str">
        <f>IF(AND(Obstacles!C24="",Obstacles!D24="",Obstacles!E24="",Obstacles!G24="",Obstacles!H24="",Obstacles!I24=""),"","&lt;Placemark&gt;&lt;name&gt;Obstacle "&amp;Obstacles!A24&amp;" - "&amp;Obstacles!B24&amp;"&lt;/name&gt;&lt;styleUrl&gt;"&amp;IF(Obstacles!CC24="No","#msn_flag","#redflag1")&amp;"&lt;/styleUrl&gt;&lt;Point&gt;&lt;extrude&gt;1&lt;/extrude&gt;&lt;altitudeMode&gt;absolute&lt;/altitudeMode&gt;&lt;coordinates&gt;"&amp;Obstacles!T24&amp;","&amp;Obstacles!U24&amp;","&amp;Obstacles!V24+Obstacles!$C$4*0.3048&amp;"&lt;/coordinates&gt;&lt;/Point&gt;&lt;/Placemark&gt;")</f>
        <v/>
      </c>
    </row>
    <row r="678" spans="4:4" x14ac:dyDescent="0.25">
      <c r="D678" t="str">
        <f>IF(AND(Obstacles!C25="",Obstacles!D25="",Obstacles!E25="",Obstacles!G25="",Obstacles!H25="",Obstacles!I25=""),"","&lt;Placemark&gt;&lt;name&gt;Obstacle "&amp;Obstacles!A25&amp;" - "&amp;Obstacles!B25&amp;"&lt;/name&gt;&lt;styleUrl&gt;"&amp;IF(Obstacles!CC25="No","#msn_flag","#redflag1")&amp;"&lt;/styleUrl&gt;&lt;Point&gt;&lt;extrude&gt;1&lt;/extrude&gt;&lt;altitudeMode&gt;absolute&lt;/altitudeMode&gt;&lt;coordinates&gt;"&amp;Obstacles!T25&amp;","&amp;Obstacles!U25&amp;","&amp;Obstacles!V25+Obstacles!$C$4*0.3048&amp;"&lt;/coordinates&gt;&lt;/Point&gt;&lt;/Placemark&gt;")</f>
        <v/>
      </c>
    </row>
    <row r="679" spans="4:4" x14ac:dyDescent="0.25">
      <c r="D679" t="str">
        <f>IF(AND(Obstacles!C26="",Obstacles!D26="",Obstacles!E26="",Obstacles!G26="",Obstacles!H26="",Obstacles!I26=""),"","&lt;Placemark&gt;&lt;name&gt;Obstacle "&amp;Obstacles!A26&amp;" - "&amp;Obstacles!B26&amp;"&lt;/name&gt;&lt;styleUrl&gt;"&amp;IF(Obstacles!CC26="No","#msn_flag","#redflag1")&amp;"&lt;/styleUrl&gt;&lt;Point&gt;&lt;extrude&gt;1&lt;/extrude&gt;&lt;altitudeMode&gt;absolute&lt;/altitudeMode&gt;&lt;coordinates&gt;"&amp;Obstacles!T26&amp;","&amp;Obstacles!U26&amp;","&amp;Obstacles!V26+Obstacles!$C$4*0.3048&amp;"&lt;/coordinates&gt;&lt;/Point&gt;&lt;/Placemark&gt;")</f>
        <v/>
      </c>
    </row>
    <row r="680" spans="4:4" x14ac:dyDescent="0.25">
      <c r="D680" t="str">
        <f>IF(AND(Obstacles!C27="",Obstacles!D27="",Obstacles!E27="",Obstacles!G27="",Obstacles!H27="",Obstacles!I27=""),"","&lt;Placemark&gt;&lt;name&gt;Obstacle "&amp;Obstacles!A27&amp;" - "&amp;Obstacles!B27&amp;"&lt;/name&gt;&lt;styleUrl&gt;"&amp;IF(Obstacles!CC27="No","#msn_flag","#redflag1")&amp;"&lt;/styleUrl&gt;&lt;Point&gt;&lt;extrude&gt;1&lt;/extrude&gt;&lt;altitudeMode&gt;absolute&lt;/altitudeMode&gt;&lt;coordinates&gt;"&amp;Obstacles!T27&amp;","&amp;Obstacles!U27&amp;","&amp;Obstacles!V27+Obstacles!$C$4*0.3048&amp;"&lt;/coordinates&gt;&lt;/Point&gt;&lt;/Placemark&gt;")</f>
        <v/>
      </c>
    </row>
    <row r="681" spans="4:4" x14ac:dyDescent="0.25">
      <c r="D681" t="str">
        <f>IF(AND(Obstacles!C28="",Obstacles!D28="",Obstacles!E28="",Obstacles!G28="",Obstacles!H28="",Obstacles!I28=""),"","&lt;Placemark&gt;&lt;name&gt;Obstacle "&amp;Obstacles!A28&amp;" - "&amp;Obstacles!B28&amp;"&lt;/name&gt;&lt;styleUrl&gt;"&amp;IF(Obstacles!CC28="No","#msn_flag","#redflag1")&amp;"&lt;/styleUrl&gt;&lt;Point&gt;&lt;extrude&gt;1&lt;/extrude&gt;&lt;altitudeMode&gt;absolute&lt;/altitudeMode&gt;&lt;coordinates&gt;"&amp;Obstacles!T28&amp;","&amp;Obstacles!U28&amp;","&amp;Obstacles!V28+Obstacles!$C$4*0.3048&amp;"&lt;/coordinates&gt;&lt;/Point&gt;&lt;/Placemark&gt;")</f>
        <v/>
      </c>
    </row>
    <row r="682" spans="4:4" x14ac:dyDescent="0.25">
      <c r="D682" t="str">
        <f>IF(AND(Obstacles!C29="",Obstacles!D29="",Obstacles!E29="",Obstacles!G29="",Obstacles!H29="",Obstacles!I29=""),"","&lt;Placemark&gt;&lt;name&gt;Obstacle "&amp;Obstacles!A29&amp;" - "&amp;Obstacles!B29&amp;"&lt;/name&gt;&lt;styleUrl&gt;"&amp;IF(Obstacles!CC29="No","#msn_flag","#redflag1")&amp;"&lt;/styleUrl&gt;&lt;Point&gt;&lt;extrude&gt;1&lt;/extrude&gt;&lt;altitudeMode&gt;absolute&lt;/altitudeMode&gt;&lt;coordinates&gt;"&amp;Obstacles!T29&amp;","&amp;Obstacles!U29&amp;","&amp;Obstacles!V29+Obstacles!$C$4*0.3048&amp;"&lt;/coordinates&gt;&lt;/Point&gt;&lt;/Placemark&gt;")</f>
        <v/>
      </c>
    </row>
    <row r="683" spans="4:4" x14ac:dyDescent="0.25">
      <c r="D683" t="str">
        <f>IF(AND(Obstacles!C30="",Obstacles!D30="",Obstacles!E30="",Obstacles!G30="",Obstacles!H30="",Obstacles!I30=""),"","&lt;Placemark&gt;&lt;name&gt;Obstacle "&amp;Obstacles!A30&amp;" - "&amp;Obstacles!B30&amp;"&lt;/name&gt;&lt;styleUrl&gt;"&amp;IF(Obstacles!CC30="No","#msn_flag","#redflag1")&amp;"&lt;/styleUrl&gt;&lt;Point&gt;&lt;extrude&gt;1&lt;/extrude&gt;&lt;altitudeMode&gt;absolute&lt;/altitudeMode&gt;&lt;coordinates&gt;"&amp;Obstacles!T30&amp;","&amp;Obstacles!U30&amp;","&amp;Obstacles!V30+Obstacles!$C$4*0.3048&amp;"&lt;/coordinates&gt;&lt;/Point&gt;&lt;/Placemark&gt;")</f>
        <v/>
      </c>
    </row>
    <row r="684" spans="4:4" x14ac:dyDescent="0.25">
      <c r="D684" t="str">
        <f>IF(AND(Obstacles!C31="",Obstacles!D31="",Obstacles!E31="",Obstacles!G31="",Obstacles!H31="",Obstacles!I31=""),"","&lt;Placemark&gt;&lt;name&gt;Obstacle "&amp;Obstacles!A31&amp;" - "&amp;Obstacles!B31&amp;"&lt;/name&gt;&lt;styleUrl&gt;"&amp;IF(Obstacles!CC31="No","#msn_flag","#redflag1")&amp;"&lt;/styleUrl&gt;&lt;Point&gt;&lt;extrude&gt;1&lt;/extrude&gt;&lt;altitudeMode&gt;absolute&lt;/altitudeMode&gt;&lt;coordinates&gt;"&amp;Obstacles!T31&amp;","&amp;Obstacles!U31&amp;","&amp;Obstacles!V31+Obstacles!$C$4*0.3048&amp;"&lt;/coordinates&gt;&lt;/Point&gt;&lt;/Placemark&gt;")</f>
        <v/>
      </c>
    </row>
    <row r="685" spans="4:4" x14ac:dyDescent="0.25">
      <c r="D685" t="str">
        <f>IF(AND(Obstacles!C32="",Obstacles!D32="",Obstacles!E32="",Obstacles!G32="",Obstacles!H32="",Obstacles!I32=""),"","&lt;Placemark&gt;&lt;name&gt;Obstacle "&amp;Obstacles!A32&amp;" - "&amp;Obstacles!B32&amp;"&lt;/name&gt;&lt;styleUrl&gt;"&amp;IF(Obstacles!CC32="No","#msn_flag","#redflag1")&amp;"&lt;/styleUrl&gt;&lt;Point&gt;&lt;extrude&gt;1&lt;/extrude&gt;&lt;altitudeMode&gt;absolute&lt;/altitudeMode&gt;&lt;coordinates&gt;"&amp;Obstacles!T32&amp;","&amp;Obstacles!U32&amp;","&amp;Obstacles!V32+Obstacles!$C$4*0.3048&amp;"&lt;/coordinates&gt;&lt;/Point&gt;&lt;/Placemark&gt;")</f>
        <v/>
      </c>
    </row>
    <row r="686" spans="4:4" x14ac:dyDescent="0.25">
      <c r="D686" t="str">
        <f>IF(AND(Obstacles!C33="",Obstacles!D33="",Obstacles!E33="",Obstacles!G33="",Obstacles!H33="",Obstacles!I33=""),"","&lt;Placemark&gt;&lt;name&gt;Obstacle "&amp;Obstacles!A33&amp;" - "&amp;Obstacles!B33&amp;"&lt;/name&gt;&lt;styleUrl&gt;"&amp;IF(Obstacles!CC33="No","#msn_flag","#redflag1")&amp;"&lt;/styleUrl&gt;&lt;Point&gt;&lt;extrude&gt;1&lt;/extrude&gt;&lt;altitudeMode&gt;absolute&lt;/altitudeMode&gt;&lt;coordinates&gt;"&amp;Obstacles!T33&amp;","&amp;Obstacles!U33&amp;","&amp;Obstacles!V33+Obstacles!$C$4*0.3048&amp;"&lt;/coordinates&gt;&lt;/Point&gt;&lt;/Placemark&gt;")</f>
        <v/>
      </c>
    </row>
    <row r="687" spans="4:4" x14ac:dyDescent="0.25">
      <c r="D687" t="str">
        <f>IF(AND(Obstacles!C34="",Obstacles!D34="",Obstacles!E34="",Obstacles!G34="",Obstacles!H34="",Obstacles!I34=""),"","&lt;Placemark&gt;&lt;name&gt;Obstacle "&amp;Obstacles!A34&amp;" - "&amp;Obstacles!B34&amp;"&lt;/name&gt;&lt;styleUrl&gt;"&amp;IF(Obstacles!CC34="No","#msn_flag","#redflag1")&amp;"&lt;/styleUrl&gt;&lt;Point&gt;&lt;extrude&gt;1&lt;/extrude&gt;&lt;altitudeMode&gt;absolute&lt;/altitudeMode&gt;&lt;coordinates&gt;"&amp;Obstacles!T34&amp;","&amp;Obstacles!U34&amp;","&amp;Obstacles!V34+Obstacles!$C$4*0.3048&amp;"&lt;/coordinates&gt;&lt;/Point&gt;&lt;/Placemark&gt;")</f>
        <v/>
      </c>
    </row>
    <row r="688" spans="4:4" x14ac:dyDescent="0.25">
      <c r="D688" t="str">
        <f>IF(AND(Obstacles!C35="",Obstacles!D35="",Obstacles!E35="",Obstacles!G35="",Obstacles!H35="",Obstacles!I35=""),"","&lt;Placemark&gt;&lt;name&gt;Obstacle "&amp;Obstacles!A35&amp;" - "&amp;Obstacles!B35&amp;"&lt;/name&gt;&lt;styleUrl&gt;"&amp;IF(Obstacles!CC35="No","#msn_flag","#redflag1")&amp;"&lt;/styleUrl&gt;&lt;Point&gt;&lt;extrude&gt;1&lt;/extrude&gt;&lt;altitudeMode&gt;absolute&lt;/altitudeMode&gt;&lt;coordinates&gt;"&amp;Obstacles!T35&amp;","&amp;Obstacles!U35&amp;","&amp;Obstacles!V35+Obstacles!$C$4*0.3048&amp;"&lt;/coordinates&gt;&lt;/Point&gt;&lt;/Placemark&gt;")</f>
        <v/>
      </c>
    </row>
    <row r="689" spans="4:4" x14ac:dyDescent="0.25">
      <c r="D689" t="str">
        <f>IF(AND(Obstacles!C36="",Obstacles!D36="",Obstacles!E36="",Obstacles!G36="",Obstacles!H36="",Obstacles!I36=""),"","&lt;Placemark&gt;&lt;name&gt;Obstacle "&amp;Obstacles!A36&amp;" - "&amp;Obstacles!B36&amp;"&lt;/name&gt;&lt;styleUrl&gt;"&amp;IF(Obstacles!CC36="No","#msn_flag","#redflag1")&amp;"&lt;/styleUrl&gt;&lt;Point&gt;&lt;extrude&gt;1&lt;/extrude&gt;&lt;altitudeMode&gt;absolute&lt;/altitudeMode&gt;&lt;coordinates&gt;"&amp;Obstacles!T36&amp;","&amp;Obstacles!U36&amp;","&amp;Obstacles!V36+Obstacles!$C$4*0.3048&amp;"&lt;/coordinates&gt;&lt;/Point&gt;&lt;/Placemark&gt;")</f>
        <v/>
      </c>
    </row>
    <row r="690" spans="4:4" x14ac:dyDescent="0.25">
      <c r="D690" t="str">
        <f>IF(AND(Obstacles!C37="",Obstacles!D37="",Obstacles!E37="",Obstacles!G37="",Obstacles!H37="",Obstacles!I37=""),"","&lt;Placemark&gt;&lt;name&gt;Obstacle "&amp;Obstacles!A37&amp;" - "&amp;Obstacles!B37&amp;"&lt;/name&gt;&lt;styleUrl&gt;"&amp;IF(Obstacles!CC37="No","#msn_flag","#redflag1")&amp;"&lt;/styleUrl&gt;&lt;Point&gt;&lt;extrude&gt;1&lt;/extrude&gt;&lt;altitudeMode&gt;absolute&lt;/altitudeMode&gt;&lt;coordinates&gt;"&amp;Obstacles!T37&amp;","&amp;Obstacles!U37&amp;","&amp;Obstacles!V37+Obstacles!$C$4*0.3048&amp;"&lt;/coordinates&gt;&lt;/Point&gt;&lt;/Placemark&gt;")</f>
        <v/>
      </c>
    </row>
    <row r="691" spans="4:4" x14ac:dyDescent="0.25">
      <c r="D691" t="str">
        <f>IF(AND(Obstacles!C38="",Obstacles!D38="",Obstacles!E38="",Obstacles!G38="",Obstacles!H38="",Obstacles!I38=""),"","&lt;Placemark&gt;&lt;name&gt;Obstacle "&amp;Obstacles!A38&amp;" - "&amp;Obstacles!B38&amp;"&lt;/name&gt;&lt;styleUrl&gt;"&amp;IF(Obstacles!CC38="No","#msn_flag","#redflag1")&amp;"&lt;/styleUrl&gt;&lt;Point&gt;&lt;extrude&gt;1&lt;/extrude&gt;&lt;altitudeMode&gt;absolute&lt;/altitudeMode&gt;&lt;coordinates&gt;"&amp;Obstacles!T38&amp;","&amp;Obstacles!U38&amp;","&amp;Obstacles!V38+Obstacles!$C$4*0.3048&amp;"&lt;/coordinates&gt;&lt;/Point&gt;&lt;/Placemark&gt;")</f>
        <v/>
      </c>
    </row>
    <row r="692" spans="4:4" x14ac:dyDescent="0.25">
      <c r="D692" t="str">
        <f>IF(AND(Obstacles!C39="",Obstacles!D39="",Obstacles!E39="",Obstacles!G39="",Obstacles!H39="",Obstacles!I39=""),"","&lt;Placemark&gt;&lt;name&gt;Obstacle "&amp;Obstacles!A39&amp;" - "&amp;Obstacles!B39&amp;"&lt;/name&gt;&lt;styleUrl&gt;"&amp;IF(Obstacles!CC39="No","#msn_flag","#redflag1")&amp;"&lt;/styleUrl&gt;&lt;Point&gt;&lt;extrude&gt;1&lt;/extrude&gt;&lt;altitudeMode&gt;absolute&lt;/altitudeMode&gt;&lt;coordinates&gt;"&amp;Obstacles!T39&amp;","&amp;Obstacles!U39&amp;","&amp;Obstacles!V39+Obstacles!$C$4*0.3048&amp;"&lt;/coordinates&gt;&lt;/Point&gt;&lt;/Placemark&gt;")</f>
        <v/>
      </c>
    </row>
    <row r="693" spans="4:4" x14ac:dyDescent="0.25">
      <c r="D693" t="str">
        <f>IF(AND(Obstacles!C40="",Obstacles!D40="",Obstacles!E40="",Obstacles!G40="",Obstacles!H40="",Obstacles!I40=""),"","&lt;Placemark&gt;&lt;name&gt;Obstacle "&amp;Obstacles!A40&amp;" - "&amp;Obstacles!B40&amp;"&lt;/name&gt;&lt;styleUrl&gt;"&amp;IF(Obstacles!CC40="No","#msn_flag","#redflag1")&amp;"&lt;/styleUrl&gt;&lt;Point&gt;&lt;extrude&gt;1&lt;/extrude&gt;&lt;altitudeMode&gt;absolute&lt;/altitudeMode&gt;&lt;coordinates&gt;"&amp;Obstacles!T40&amp;","&amp;Obstacles!U40&amp;","&amp;Obstacles!V40+Obstacles!$C$4*0.3048&amp;"&lt;/coordinates&gt;&lt;/Point&gt;&lt;/Placemark&gt;")</f>
        <v/>
      </c>
    </row>
    <row r="694" spans="4:4" x14ac:dyDescent="0.25">
      <c r="D694" t="str">
        <f>IF(AND(Obstacles!C41="",Obstacles!D41="",Obstacles!E41="",Obstacles!G41="",Obstacles!H41="",Obstacles!I41=""),"","&lt;Placemark&gt;&lt;name&gt;Obstacle "&amp;Obstacles!A41&amp;" - "&amp;Obstacles!B41&amp;"&lt;/name&gt;&lt;styleUrl&gt;"&amp;IF(Obstacles!CC41="No","#msn_flag","#redflag1")&amp;"&lt;/styleUrl&gt;&lt;Point&gt;&lt;extrude&gt;1&lt;/extrude&gt;&lt;altitudeMode&gt;absolute&lt;/altitudeMode&gt;&lt;coordinates&gt;"&amp;Obstacles!T41&amp;","&amp;Obstacles!U41&amp;","&amp;Obstacles!V41+Obstacles!$C$4*0.3048&amp;"&lt;/coordinates&gt;&lt;/Point&gt;&lt;/Placemark&gt;")</f>
        <v/>
      </c>
    </row>
    <row r="695" spans="4:4" x14ac:dyDescent="0.25">
      <c r="D695" t="str">
        <f>IF(AND(Obstacles!C42="",Obstacles!D42="",Obstacles!E42="",Obstacles!G42="",Obstacles!H42="",Obstacles!I42=""),"","&lt;Placemark&gt;&lt;name&gt;Obstacle "&amp;Obstacles!A42&amp;" - "&amp;Obstacles!B42&amp;"&lt;/name&gt;&lt;styleUrl&gt;"&amp;IF(Obstacles!CC42="No","#msn_flag","#redflag1")&amp;"&lt;/styleUrl&gt;&lt;Point&gt;&lt;extrude&gt;1&lt;/extrude&gt;&lt;altitudeMode&gt;absolute&lt;/altitudeMode&gt;&lt;coordinates&gt;"&amp;Obstacles!T42&amp;","&amp;Obstacles!U42&amp;","&amp;Obstacles!V42+Obstacles!$C$4*0.3048&amp;"&lt;/coordinates&gt;&lt;/Point&gt;&lt;/Placemark&gt;")</f>
        <v/>
      </c>
    </row>
    <row r="696" spans="4:4" x14ac:dyDescent="0.25">
      <c r="D696" t="str">
        <f>IF(AND(Obstacles!C43="",Obstacles!D43="",Obstacles!E43="",Obstacles!G43="",Obstacles!H43="",Obstacles!I43=""),"","&lt;Placemark&gt;&lt;name&gt;Obstacle "&amp;Obstacles!A43&amp;" - "&amp;Obstacles!B43&amp;"&lt;/name&gt;&lt;styleUrl&gt;"&amp;IF(Obstacles!CC43="No","#msn_flag","#redflag1")&amp;"&lt;/styleUrl&gt;&lt;Point&gt;&lt;extrude&gt;1&lt;/extrude&gt;&lt;altitudeMode&gt;absolute&lt;/altitudeMode&gt;&lt;coordinates&gt;"&amp;Obstacles!T43&amp;","&amp;Obstacles!U43&amp;","&amp;Obstacles!V43+Obstacles!$C$4*0.3048&amp;"&lt;/coordinates&gt;&lt;/Point&gt;&lt;/Placemark&gt;")</f>
        <v/>
      </c>
    </row>
    <row r="697" spans="4:4" x14ac:dyDescent="0.25">
      <c r="D697" t="str">
        <f>IF(AND(Obstacles!C44="",Obstacles!D44="",Obstacles!E44="",Obstacles!G44="",Obstacles!H44="",Obstacles!I44=""),"","&lt;Placemark&gt;&lt;name&gt;Obstacle "&amp;Obstacles!A44&amp;" - "&amp;Obstacles!B44&amp;"&lt;/name&gt;&lt;styleUrl&gt;"&amp;IF(Obstacles!CC44="No","#msn_flag","#redflag1")&amp;"&lt;/styleUrl&gt;&lt;Point&gt;&lt;extrude&gt;1&lt;/extrude&gt;&lt;altitudeMode&gt;absolute&lt;/altitudeMode&gt;&lt;coordinates&gt;"&amp;Obstacles!T44&amp;","&amp;Obstacles!U44&amp;","&amp;Obstacles!V44+Obstacles!$C$4*0.3048&amp;"&lt;/coordinates&gt;&lt;/Point&gt;&lt;/Placemark&gt;")</f>
        <v/>
      </c>
    </row>
    <row r="698" spans="4:4" x14ac:dyDescent="0.25">
      <c r="D698" t="str">
        <f>IF(AND(Obstacles!C45="",Obstacles!D45="",Obstacles!E45="",Obstacles!G45="",Obstacles!H45="",Obstacles!I45=""),"","&lt;Placemark&gt;&lt;name&gt;Obstacle "&amp;Obstacles!A45&amp;" - "&amp;Obstacles!B45&amp;"&lt;/name&gt;&lt;styleUrl&gt;"&amp;IF(Obstacles!CC45="No","#msn_flag","#redflag1")&amp;"&lt;/styleUrl&gt;&lt;Point&gt;&lt;extrude&gt;1&lt;/extrude&gt;&lt;altitudeMode&gt;absolute&lt;/altitudeMode&gt;&lt;coordinates&gt;"&amp;Obstacles!T45&amp;","&amp;Obstacles!U45&amp;","&amp;Obstacles!V45+Obstacles!$C$4*0.3048&amp;"&lt;/coordinates&gt;&lt;/Point&gt;&lt;/Placemark&gt;")</f>
        <v/>
      </c>
    </row>
    <row r="699" spans="4:4" x14ac:dyDescent="0.25">
      <c r="D699" t="str">
        <f>IF(AND(Obstacles!C46="",Obstacles!D46="",Obstacles!E46="",Obstacles!G46="",Obstacles!H46="",Obstacles!I46=""),"","&lt;Placemark&gt;&lt;name&gt;Obstacle "&amp;Obstacles!A46&amp;" - "&amp;Obstacles!B46&amp;"&lt;/name&gt;&lt;styleUrl&gt;"&amp;IF(Obstacles!CC46="No","#msn_flag","#redflag1")&amp;"&lt;/styleUrl&gt;&lt;Point&gt;&lt;extrude&gt;1&lt;/extrude&gt;&lt;altitudeMode&gt;absolute&lt;/altitudeMode&gt;&lt;coordinates&gt;"&amp;Obstacles!T46&amp;","&amp;Obstacles!U46&amp;","&amp;Obstacles!V46+Obstacles!$C$4*0.3048&amp;"&lt;/coordinates&gt;&lt;/Point&gt;&lt;/Placemark&gt;")</f>
        <v/>
      </c>
    </row>
    <row r="700" spans="4:4" x14ac:dyDescent="0.25">
      <c r="D700" t="str">
        <f>IF(AND(Obstacles!C47="",Obstacles!D47="",Obstacles!E47="",Obstacles!G47="",Obstacles!H47="",Obstacles!I47=""),"","&lt;Placemark&gt;&lt;name&gt;Obstacle "&amp;Obstacles!A47&amp;" - "&amp;Obstacles!B47&amp;"&lt;/name&gt;&lt;styleUrl&gt;"&amp;IF(Obstacles!CC47="No","#msn_flag","#redflag1")&amp;"&lt;/styleUrl&gt;&lt;Point&gt;&lt;extrude&gt;1&lt;/extrude&gt;&lt;altitudeMode&gt;absolute&lt;/altitudeMode&gt;&lt;coordinates&gt;"&amp;Obstacles!T47&amp;","&amp;Obstacles!U47&amp;","&amp;Obstacles!V47+Obstacles!$C$4*0.3048&amp;"&lt;/coordinates&gt;&lt;/Point&gt;&lt;/Placemark&gt;")</f>
        <v/>
      </c>
    </row>
    <row r="701" spans="4:4" x14ac:dyDescent="0.25">
      <c r="D701" t="str">
        <f>IF(AND(Obstacles!C48="",Obstacles!D48="",Obstacles!E48="",Obstacles!G48="",Obstacles!H48="",Obstacles!I48=""),"","&lt;Placemark&gt;&lt;name&gt;Obstacle "&amp;Obstacles!A48&amp;" - "&amp;Obstacles!B48&amp;"&lt;/name&gt;&lt;styleUrl&gt;"&amp;IF(Obstacles!CC48="No","#msn_flag","#redflag1")&amp;"&lt;/styleUrl&gt;&lt;Point&gt;&lt;extrude&gt;1&lt;/extrude&gt;&lt;altitudeMode&gt;absolute&lt;/altitudeMode&gt;&lt;coordinates&gt;"&amp;Obstacles!T48&amp;","&amp;Obstacles!U48&amp;","&amp;Obstacles!V48+Obstacles!$C$4*0.3048&amp;"&lt;/coordinates&gt;&lt;/Point&gt;&lt;/Placemark&gt;")</f>
        <v/>
      </c>
    </row>
    <row r="702" spans="4:4" x14ac:dyDescent="0.25">
      <c r="D702" t="str">
        <f>IF(AND(Obstacles!C49="",Obstacles!D49="",Obstacles!E49="",Obstacles!G49="",Obstacles!H49="",Obstacles!I49=""),"","&lt;Placemark&gt;&lt;name&gt;Obstacle "&amp;Obstacles!A49&amp;" - "&amp;Obstacles!B49&amp;"&lt;/name&gt;&lt;styleUrl&gt;"&amp;IF(Obstacles!CC49="No","#msn_flag","#redflag1")&amp;"&lt;/styleUrl&gt;&lt;Point&gt;&lt;extrude&gt;1&lt;/extrude&gt;&lt;altitudeMode&gt;absolute&lt;/altitudeMode&gt;&lt;coordinates&gt;"&amp;Obstacles!T49&amp;","&amp;Obstacles!U49&amp;","&amp;Obstacles!V49+Obstacles!$C$4*0.3048&amp;"&lt;/coordinates&gt;&lt;/Point&gt;&lt;/Placemark&gt;")</f>
        <v/>
      </c>
    </row>
    <row r="703" spans="4:4" x14ac:dyDescent="0.25">
      <c r="D703" t="str">
        <f>IF(AND(Obstacles!C50="",Obstacles!D50="",Obstacles!E50="",Obstacles!G50="",Obstacles!H50="",Obstacles!I50=""),"","&lt;Placemark&gt;&lt;name&gt;Obstacle "&amp;Obstacles!A50&amp;" - "&amp;Obstacles!B50&amp;"&lt;/name&gt;&lt;styleUrl&gt;"&amp;IF(Obstacles!CC50="No","#msn_flag","#redflag1")&amp;"&lt;/styleUrl&gt;&lt;Point&gt;&lt;extrude&gt;1&lt;/extrude&gt;&lt;altitudeMode&gt;absolute&lt;/altitudeMode&gt;&lt;coordinates&gt;"&amp;Obstacles!T50&amp;","&amp;Obstacles!U50&amp;","&amp;Obstacles!V50+Obstacles!$C$4*0.3048&amp;"&lt;/coordinates&gt;&lt;/Point&gt;&lt;/Placemark&gt;")</f>
        <v/>
      </c>
    </row>
    <row r="704" spans="4:4" x14ac:dyDescent="0.25">
      <c r="D704" t="str">
        <f>IF(AND(Obstacles!C51="",Obstacles!D51="",Obstacles!E51="",Obstacles!G51="",Obstacles!H51="",Obstacles!I51=""),"","&lt;Placemark&gt;&lt;name&gt;Obstacle "&amp;Obstacles!A51&amp;" - "&amp;Obstacles!B51&amp;"&lt;/name&gt;&lt;styleUrl&gt;"&amp;IF(Obstacles!CC51="No","#msn_flag","#redflag1")&amp;"&lt;/styleUrl&gt;&lt;Point&gt;&lt;extrude&gt;1&lt;/extrude&gt;&lt;altitudeMode&gt;absolute&lt;/altitudeMode&gt;&lt;coordinates&gt;"&amp;Obstacles!T51&amp;","&amp;Obstacles!U51&amp;","&amp;Obstacles!V51+Obstacles!$C$4*0.3048&amp;"&lt;/coordinates&gt;&lt;/Point&gt;&lt;/Placemark&gt;")</f>
        <v/>
      </c>
    </row>
    <row r="705" spans="3:9" x14ac:dyDescent="0.25">
      <c r="D705" t="str">
        <f>IF(AND(Obstacles!C52="",Obstacles!D52="",Obstacles!E52="",Obstacles!G52="",Obstacles!H52="",Obstacles!I52=""),"","&lt;Placemark&gt;&lt;name&gt;Obstacle "&amp;Obstacles!A52&amp;" - "&amp;Obstacles!B52&amp;"&lt;/name&gt;&lt;styleUrl&gt;"&amp;IF(Obstacles!CC52="No","#msn_flag","#redflag1")&amp;"&lt;/styleUrl&gt;&lt;Point&gt;&lt;extrude&gt;1&lt;/extrude&gt;&lt;altitudeMode&gt;absolute&lt;/altitudeMode&gt;&lt;coordinates&gt;"&amp;Obstacles!T52&amp;","&amp;Obstacles!U52&amp;","&amp;Obstacles!V52+Obstacles!$C$4*0.3048&amp;"&lt;/coordinates&gt;&lt;/Point&gt;&lt;/Placemark&gt;")</f>
        <v/>
      </c>
    </row>
    <row r="706" spans="3:9" x14ac:dyDescent="0.25">
      <c r="D706" t="str">
        <f>IF(AND(Obstacles!C53="",Obstacles!D53="",Obstacles!E53="",Obstacles!G53="",Obstacles!H53="",Obstacles!I53=""),"","&lt;Placemark&gt;&lt;name&gt;Obstacle "&amp;Obstacles!A53&amp;" - "&amp;Obstacles!B53&amp;"&lt;/name&gt;&lt;styleUrl&gt;"&amp;IF(Obstacles!CC53="No","#msn_flag","#redflag1")&amp;"&lt;/styleUrl&gt;&lt;Point&gt;&lt;extrude&gt;1&lt;/extrude&gt;&lt;altitudeMode&gt;absolute&lt;/altitudeMode&gt;&lt;coordinates&gt;"&amp;Obstacles!T53&amp;","&amp;Obstacles!U53&amp;","&amp;Obstacles!V53+Obstacles!$C$4*0.3048&amp;"&lt;/coordinates&gt;&lt;/Point&gt;&lt;/Placemark&gt;")</f>
        <v/>
      </c>
    </row>
    <row r="707" spans="3:9" x14ac:dyDescent="0.25">
      <c r="D707" t="str">
        <f>IF(AND(Obstacles!C54="",Obstacles!D54="",Obstacles!E54="",Obstacles!G54="",Obstacles!H54="",Obstacles!I54=""),"","&lt;Placemark&gt;&lt;name&gt;Obstacle "&amp;Obstacles!A54&amp;" - "&amp;Obstacles!B54&amp;"&lt;/name&gt;&lt;styleUrl&gt;"&amp;IF(Obstacles!CC54="No","#msn_flag","#redflag1")&amp;"&lt;/styleUrl&gt;&lt;Point&gt;&lt;extrude&gt;1&lt;/extrude&gt;&lt;altitudeMode&gt;absolute&lt;/altitudeMode&gt;&lt;coordinates&gt;"&amp;Obstacles!T54&amp;","&amp;Obstacles!U54&amp;","&amp;Obstacles!V54+Obstacles!$C$4*0.3048&amp;"&lt;/coordinates&gt;&lt;/Point&gt;&lt;/Placemark&gt;")</f>
        <v/>
      </c>
    </row>
    <row r="708" spans="3:9" x14ac:dyDescent="0.25">
      <c r="D708" t="str">
        <f>IF(AND(Obstacles!C55="",Obstacles!D55="",Obstacles!E55="",Obstacles!G55="",Obstacles!H55="",Obstacles!I55=""),"","&lt;Placemark&gt;&lt;name&gt;Obstacle "&amp;Obstacles!A55&amp;" - "&amp;Obstacles!B55&amp;"&lt;/name&gt;&lt;styleUrl&gt;"&amp;IF(Obstacles!CC55="No","#msn_flag","#redflag1")&amp;"&lt;/styleUrl&gt;&lt;Point&gt;&lt;extrude&gt;1&lt;/extrude&gt;&lt;altitudeMode&gt;absolute&lt;/altitudeMode&gt;&lt;coordinates&gt;"&amp;Obstacles!T55&amp;","&amp;Obstacles!U55&amp;","&amp;Obstacles!V55+Obstacles!$C$4*0.3048&amp;"&lt;/coordinates&gt;&lt;/Point&gt;&lt;/Placemark&gt;")</f>
        <v/>
      </c>
    </row>
    <row r="709" spans="3:9" x14ac:dyDescent="0.25">
      <c r="D709" t="str">
        <f>IF(AND(Obstacles!C56="",Obstacles!D56="",Obstacles!E56="",Obstacles!G56="",Obstacles!H56="",Obstacles!I56=""),"","&lt;Placemark&gt;&lt;name&gt;Obstacle "&amp;Obstacles!A56&amp;" - "&amp;Obstacles!B56&amp;"&lt;/name&gt;&lt;styleUrl&gt;"&amp;IF(Obstacles!CC56="No","#msn_flag","#redflag1")&amp;"&lt;/styleUrl&gt;&lt;Point&gt;&lt;extrude&gt;1&lt;/extrude&gt;&lt;altitudeMode&gt;absolute&lt;/altitudeMode&gt;&lt;coordinates&gt;"&amp;Obstacles!T56&amp;","&amp;Obstacles!U56&amp;","&amp;Obstacles!V56+Obstacles!$C$4*0.3048&amp;"&lt;/coordinates&gt;&lt;/Point&gt;&lt;/Placemark&gt;")</f>
        <v/>
      </c>
    </row>
    <row r="710" spans="3:9" x14ac:dyDescent="0.25">
      <c r="D710" t="str">
        <f>IF(AND(Obstacles!C57="",Obstacles!D57="",Obstacles!E57="",Obstacles!G57="",Obstacles!H57="",Obstacles!I57=""),"","&lt;Placemark&gt;&lt;name&gt;Obstacle "&amp;Obstacles!A57&amp;" - "&amp;Obstacles!B57&amp;"&lt;/name&gt;&lt;styleUrl&gt;"&amp;IF(Obstacles!CC57="No","#msn_flag","#redflag1")&amp;"&lt;/styleUrl&gt;&lt;Point&gt;&lt;extrude&gt;1&lt;/extrude&gt;&lt;altitudeMode&gt;absolute&lt;/altitudeMode&gt;&lt;coordinates&gt;"&amp;Obstacles!T57&amp;","&amp;Obstacles!U57&amp;","&amp;Obstacles!V57+Obstacles!$C$4*0.3048&amp;"&lt;/coordinates&gt;&lt;/Point&gt;&lt;/Placemark&gt;")</f>
        <v/>
      </c>
    </row>
    <row r="711" spans="3:9" x14ac:dyDescent="0.25">
      <c r="D711" t="str">
        <f>IF(AND(Obstacles!C58="",Obstacles!D58="",Obstacles!E58="",Obstacles!G58="",Obstacles!H58="",Obstacles!I58=""),"","&lt;Placemark&gt;&lt;name&gt;Obstacle "&amp;Obstacles!A58&amp;" - "&amp;Obstacles!B58&amp;"&lt;/name&gt;&lt;styleUrl&gt;"&amp;IF(Obstacles!CC58="No","#msn_flag","#redflag1")&amp;"&lt;/styleUrl&gt;&lt;Point&gt;&lt;extrude&gt;1&lt;/extrude&gt;&lt;altitudeMode&gt;absolute&lt;/altitudeMode&gt;&lt;coordinates&gt;"&amp;Obstacles!T58&amp;","&amp;Obstacles!U58&amp;","&amp;Obstacles!V58+Obstacles!$C$4*0.3048&amp;"&lt;/coordinates&gt;&lt;/Point&gt;&lt;/Placemark&gt;")</f>
        <v/>
      </c>
    </row>
    <row r="712" spans="3:9" x14ac:dyDescent="0.25">
      <c r="D712" t="str">
        <f>IF(AND(Obstacles!C59="",Obstacles!D59="",Obstacles!E59="",Obstacles!G59="",Obstacles!H59="",Obstacles!I59=""),"","&lt;Placemark&gt;&lt;name&gt;Obstacle "&amp;Obstacles!A59&amp;" - "&amp;Obstacles!B59&amp;"&lt;/name&gt;&lt;styleUrl&gt;"&amp;IF(Obstacles!CC59="No","#msn_flag","#redflag1")&amp;"&lt;/styleUrl&gt;&lt;Point&gt;&lt;extrude&gt;1&lt;/extrude&gt;&lt;altitudeMode&gt;absolute&lt;/altitudeMode&gt;&lt;coordinates&gt;"&amp;Obstacles!T59&amp;","&amp;Obstacles!U59&amp;","&amp;Obstacles!V59+Obstacles!$C$4*0.3048&amp;"&lt;/coordinates&gt;&lt;/Point&gt;&lt;/Placemark&gt;")</f>
        <v/>
      </c>
    </row>
    <row r="713" spans="3:9" x14ac:dyDescent="0.25">
      <c r="D713" t="str">
        <f>IF(AND(Obstacles!C60="",Obstacles!D60="",Obstacles!E60="",Obstacles!G60="",Obstacles!H60="",Obstacles!I60=""),"","&lt;Placemark&gt;&lt;name&gt;Obstacle "&amp;Obstacles!A60&amp;" - "&amp;Obstacles!B60&amp;"&lt;/name&gt;&lt;styleUrl&gt;"&amp;IF(Obstacles!CC60="No","#msn_flag","#redflag1")&amp;"&lt;/styleUrl&gt;&lt;Point&gt;&lt;extrude&gt;1&lt;/extrude&gt;&lt;altitudeMode&gt;absolute&lt;/altitudeMode&gt;&lt;coordinates&gt;"&amp;Obstacles!T60&amp;","&amp;Obstacles!U60&amp;","&amp;Obstacles!V60+Obstacles!$C$4*0.3048&amp;"&lt;/coordinates&gt;&lt;/Point&gt;&lt;/Placemark&gt;")</f>
        <v/>
      </c>
    </row>
    <row r="714" spans="3:9" x14ac:dyDescent="0.25">
      <c r="C714" t="s">
        <v>260</v>
      </c>
    </row>
    <row r="715" spans="3:9" x14ac:dyDescent="0.25">
      <c r="C715" t="s">
        <v>246</v>
      </c>
    </row>
    <row r="716" spans="3:9" x14ac:dyDescent="0.25">
      <c r="D716" t="s">
        <v>424</v>
      </c>
    </row>
    <row r="717" spans="3:9" x14ac:dyDescent="0.25">
      <c r="D717" t="s">
        <v>247</v>
      </c>
    </row>
    <row r="718" spans="3:9" x14ac:dyDescent="0.25">
      <c r="E718" t="str">
        <f>IF(Data!D29="","","&lt;Folder&gt;&lt;name&gt;"&amp;Obstacles!G2&amp;" Magnetic Course Outbound&lt;/name&gt;&lt;visibility&gt;0&lt;/visibility&gt;")</f>
        <v>&lt;Folder&gt;&lt;name&gt;96 Magnetic Course Outbound&lt;/name&gt;&lt;visibility&gt;0&lt;/visibility&gt;</v>
      </c>
    </row>
    <row r="719" spans="3:9" x14ac:dyDescent="0.25">
      <c r="E719" t="str">
        <f>IF(Data!D29="","","&lt;Placemark&gt;&lt;name&gt;Primary Surface&lt;/name&gt;&lt;styleUrl&gt;#msn_ylw-pushpin01&lt;/styleUrl&gt;&lt;Polygon&gt;&lt;extrude&gt;1&lt;/extrude&gt;&lt;tessellate&gt;1&lt;/tessellate&gt;&lt;altitudeMode&gt;absolute&lt;/altitudeMode&gt;&lt;outerBoundaryIs&gt;&lt;LinearRing&gt;")</f>
        <v>&lt;Placemark&gt;&lt;name&gt;Primary Surface&lt;/name&gt;&lt;styleUrl&gt;#msn_ylw-pushpin01&lt;/styleUrl&gt;&lt;Polygon&gt;&lt;extrude&gt;1&lt;/extrude&gt;&lt;tessellate&gt;1&lt;/tessellate&gt;&lt;altitudeMode&gt;absolute&lt;/altitudeMode&gt;&lt;outerBoundaryIs&gt;&lt;LinearRing&gt;</v>
      </c>
    </row>
    <row r="720" spans="3:9" x14ac:dyDescent="0.25">
      <c r="I720" t="str">
        <f ca="1">IF(Data!D29="","","&lt;coordinates&gt;-"&amp;Data!W43&amp;","&amp;Data!Y43&amp;","&amp;Data!AB43&amp;" -"&amp;Data!W44&amp;","&amp;Data!Y44&amp;","&amp;Data!AB44&amp;" -"&amp;Data!W45&amp;","&amp;Data!Y45&amp;","&amp;Data!AB45&amp;" -"&amp;Data!W46&amp;","&amp;Data!Y46&amp;","&amp;Data!AB46&amp;" -"&amp;Data!W43&amp;","&amp;Data!Y43&amp;","&amp;Data!AB43&amp;"&lt;/coordinates&gt;&lt;/LinearRing&gt;&lt;/outerBoundaryIs&gt;&lt;/Polygon&gt;&lt;/Placemark&gt;")</f>
        <v>&lt;coordinates&gt;-80.1342253200002,26.0585117286406,4.2672 -80.1342253200002,26.0583216113582,4.2672 -80.1220416299998,26.0577283559089,156.6672 -80.1220416299998,26.0591039440262,156.6672 -80.1342253200002,26.0585117286406,4.2672&lt;/coordinates&gt;&lt;/LinearRing&gt;&lt;/outerBoundaryIs&gt;&lt;/Polygon&gt;&lt;/Placemark&gt;</v>
      </c>
    </row>
    <row r="721" spans="5:9" x14ac:dyDescent="0.25">
      <c r="E721" t="str">
        <f>IF(Data!D29="","","&lt;Placemark&gt;&lt;name&gt;Lateral Extension Left&lt;/name&gt;&lt;styleUrl&gt;#msn_ylw-pushpin01&lt;/styleUrl&gt;&lt;Polygon&gt;&lt;extrude&gt;1&lt;/extrude&gt;&lt;tessellate&gt;1&lt;/tessellate&gt;&lt;altitudeMode&gt;absolute&lt;/altitudeMode&gt;&lt;outerBoundaryIs&gt;&lt;LinearRing&gt;")</f>
        <v>&lt;Placemark&gt;&lt;name&gt;Lateral Extension Left&lt;/name&gt;&lt;styleUrl&gt;#msn_ylw-pushpin01&lt;/styleUrl&gt;&lt;Polygon&gt;&lt;extrude&gt;1&lt;/extrude&gt;&lt;tessellate&gt;1&lt;/tessellate&gt;&lt;altitudeMode&gt;absolute&lt;/altitudeMode&gt;&lt;outerBoundaryIs&gt;&lt;LinearRing&gt;</v>
      </c>
    </row>
    <row r="722" spans="5:9" x14ac:dyDescent="0.25">
      <c r="I722" t="str">
        <f ca="1">IF(Data!D29="","","&lt;coordinates&gt;-"&amp;Data!W57&amp;","&amp;Data!Y57&amp;","&amp;Data!AB57&amp;" -"&amp;Data!W58&amp;","&amp;Data!Y58&amp;","&amp;Data!AB58&amp;" -"&amp;Data!W59&amp;","&amp;Data!Y59&amp;","&amp;Data!AB59&amp;" -"&amp;Data!W57&amp;","&amp;Data!Y57&amp;","&amp;Data!AB57&amp;"&lt;/coordinates&gt;&lt;/LinearRing&gt;&lt;/outerBoundaryIs&gt;&lt;/Polygon&gt;&lt;/Placemark&gt;")</f>
        <v>&lt;coordinates&gt;-80.1342253200002,26.0585117286406,4.2672 -80.1281334700001,26.0588079663394,80.4672 -80.1281334700001,26.0590830839429,80.4672 -80.1342253200002,26.0585117286406,4.2672&lt;/coordinates&gt;&lt;/LinearRing&gt;&lt;/outerBoundaryIs&gt;&lt;/Polygon&gt;&lt;/Placemark&gt;</v>
      </c>
    </row>
    <row r="723" spans="5:9" x14ac:dyDescent="0.25">
      <c r="E723" t="str">
        <f>IF(Data!D29="","","&lt;Placemark&gt;&lt;name&gt;Lateral Extension Right&lt;/name&gt;&lt;styleUrl&gt;#msn_ylw-pushpin01&lt;/styleUrl&gt;&lt;Polygon&gt;&lt;extrude&gt;1&lt;/extrude&gt;&lt;tessellate&gt;1&lt;/tessellate&gt;&lt;altitudeMode&gt;absolute&lt;/altitudeMode&gt;&lt;outerBoundaryIs&gt;&lt;LinearRing&gt;")</f>
        <v>&lt;Placemark&gt;&lt;name&gt;Lateral Extension Right&lt;/name&gt;&lt;styleUrl&gt;#msn_ylw-pushpin01&lt;/styleUrl&gt;&lt;Polygon&gt;&lt;extrude&gt;1&lt;/extrude&gt;&lt;tessellate&gt;1&lt;/tessellate&gt;&lt;altitudeMode&gt;absolute&lt;/altitudeMode&gt;&lt;outerBoundaryIs&gt;&lt;LinearRing&gt;</v>
      </c>
    </row>
    <row r="724" spans="5:9" x14ac:dyDescent="0.25">
      <c r="I724" t="str">
        <f ca="1">IF(Data!D29="","","&lt;coordinates&gt;-"&amp;Data!W60&amp;","&amp;Data!Y60&amp;","&amp;Data!AB60&amp;" -"&amp;Data!W61&amp;","&amp;Data!Y61&amp;","&amp;Data!AB61&amp;" -"&amp;Data!W62&amp;","&amp;Data!Y62&amp;","&amp;Data!AB62&amp;" -"&amp;Data!W60&amp;","&amp;Data!Y60&amp;","&amp;Data!AB60&amp;"&lt;/coordinates&gt;&lt;/LinearRing&gt;&lt;/outerBoundaryIs&gt;&lt;/Polygon&gt;&lt;/Placemark&gt;")</f>
        <v>&lt;coordinates&gt;-80.1342253200002,26.0583216113582,4.2672 -80.1281334700001,26.0580251136396,80.4672 -80.1281334700001,26.0577499959961,80.4672 -80.1342253200002,26.0583216113582,4.2672&lt;/coordinates&gt;&lt;/LinearRing&gt;&lt;/outerBoundaryIs&gt;&lt;/Polygon&gt;&lt;/Placemark&gt;</v>
      </c>
    </row>
    <row r="725" spans="5:9" x14ac:dyDescent="0.25">
      <c r="E725" t="str">
        <f>IF(Data!D29="","","&lt;Placemark&gt;&lt;name&gt;Transition Surface Left&lt;/name&gt;&lt;styleUrl&gt;#msn_ylw-pushpin30&lt;/styleUrl&gt;&lt;Polygon&gt;&lt;extrude&gt;1&lt;/extrude&gt;&lt;tessellate&gt;1&lt;/tessellate&gt;&lt;altitudeMode&gt;absolute&lt;/altitudeMode&gt;&lt;outerBoundaryIs&gt;&lt;LinearRing&gt;")</f>
        <v>&lt;Placemark&gt;&lt;name&gt;Transition Surface Left&lt;/name&gt;&lt;styleUrl&gt;#msn_ylw-pushpin30&lt;/styleUrl&gt;&lt;Polygon&gt;&lt;extrude&gt;1&lt;/extrude&gt;&lt;tessellate&gt;1&lt;/tessellate&gt;&lt;altitudeMode&gt;absolute&lt;/altitudeMode&gt;&lt;outerBoundaryIs&gt;&lt;LinearRing&gt;</v>
      </c>
    </row>
    <row r="726" spans="5:9" x14ac:dyDescent="0.25">
      <c r="I726" s="22" t="str">
        <f ca="1">IF(Data!D29="","","&lt;coordinates&gt;-"&amp;Data!W47&amp;","&amp;Data!Y47&amp;","&amp;Data!AB47&amp;" -"&amp;Data!W48&amp;","&amp;Data!Y48&amp;","&amp;Data!AB48&amp;" -"&amp;Data!W49&amp;","&amp;Data!Y49&amp;","&amp;Data!AB49&amp;" -"&amp;Data!W50&amp;","&amp;Data!Y50&amp;","&amp;Data!AB50&amp;" -"&amp;Data!W51&amp;","&amp;Data!Y51&amp;","&amp;Data!AB51&amp;" -"&amp;Data!W47&amp;","&amp;Data!Y47&amp;","&amp;Data!AB47&amp;"&lt;/coordinates&gt;&lt;/LinearRing&gt;&lt;/outerBoundaryIs&gt;&lt;/Polygon&gt;&lt;/Placemark&gt;")</f>
        <v>&lt;coordinates&gt;-80.1342253200002,26.0585117286406,4.2672 -80.1344358055631,26.0585117298466,4.2672 -80.13443581,26.0591044653854,37.1014752 -80.1342253200002,26.0591044653854,37.1014752 -80.1220416299998,26.0591039440262,156.6672 -80.1342253200002,26.0585117286406,4.2672&lt;/coordinates&gt;&lt;/LinearRing&gt;&lt;/outerBoundaryIs&gt;&lt;/Polygon&gt;&lt;/Placemark&gt;</v>
      </c>
    </row>
    <row r="727" spans="5:9" x14ac:dyDescent="0.25">
      <c r="E727" t="str">
        <f>IF(Data!D29="","","&lt;Placemark&gt;&lt;name&gt;Transition Surface Right&lt;/name&gt;&lt;styleUrl&gt;#msn_ylw-pushpin12&lt;/styleUrl&gt;&lt;Polygon&gt;&lt;extrude&gt;1&lt;/extrude&gt;&lt;tessellate&gt;1&lt;/tessellate&gt;&lt;altitudeMode&gt;absolute&lt;/altitudeMode&gt;&lt;outerBoundaryIs&gt;&lt;LinearRing&gt;")</f>
        <v>&lt;Placemark&gt;&lt;name&gt;Transition Surface Right&lt;/name&gt;&lt;styleUrl&gt;#msn_ylw-pushpin12&lt;/styleUrl&gt;&lt;Polygon&gt;&lt;extrude&gt;1&lt;/extrude&gt;&lt;tessellate&gt;1&lt;/tessellate&gt;&lt;altitudeMode&gt;absolute&lt;/altitudeMode&gt;&lt;outerBoundaryIs&gt;&lt;LinearRing&gt;</v>
      </c>
    </row>
    <row r="728" spans="5:9" x14ac:dyDescent="0.25">
      <c r="I728" t="str">
        <f ca="1">IF(Data!D29="","","&lt;coordinates&gt;-"&amp;Data!W52&amp;","&amp;Data!Y52&amp;","&amp;Data!AB52&amp;" -"&amp;Data!W53&amp;","&amp;Data!Y53&amp;","&amp;Data!AB53&amp;" -"&amp;Data!W54&amp;","&amp;Data!Y54&amp;","&amp;Data!AB54&amp;" -"&amp;Data!W55&amp;","&amp;Data!Y55&amp;","&amp;Data!AB55&amp;" -"&amp;Data!W56&amp;","&amp;Data!Y56&amp;","&amp;Data!AB56&amp;" -"&amp;Data!W52&amp;","&amp;Data!Y52&amp;","&amp;Data!AB52&amp;"&lt;/coordinates&gt;&lt;/LinearRing&gt;&lt;/outerBoundaryIs&gt;&lt;/Polygon&gt;&lt;/Placemark&gt;&lt;/Folder&gt;")</f>
        <v>&lt;coordinates&gt;-80.1342253200002,26.0583216113582,4.2672 -80.1344358052233,26.0583216098466,4.2672 -80.13443581,26.0577288745508,37.1014752 -80.1342253200002,26.0577288745508,37.1014752 -80.1220416299998,26.0577283559089,156.6672 -80.1342253200002,26.0583216113582,4.2672&lt;/coordinates&gt;&lt;/LinearRing&gt;&lt;/outerBoundaryIs&gt;&lt;/Polygon&gt;&lt;/Placemark&gt;&lt;/Folder&gt;</v>
      </c>
    </row>
    <row r="729" spans="5:9" x14ac:dyDescent="0.25">
      <c r="E729" t="str">
        <f>IF(Data!D30="","","&lt;Folder&gt;&lt;name&gt;"&amp;Obstacles!G3&amp;" Magnetic Course Outbound&lt;/name&gt;&lt;visibility&gt;0&lt;/visibility&gt;")</f>
        <v>&lt;Folder&gt;&lt;name&gt;276 Magnetic Course Outbound&lt;/name&gt;&lt;visibility&gt;0&lt;/visibility&gt;</v>
      </c>
    </row>
    <row r="730" spans="5:9" x14ac:dyDescent="0.25">
      <c r="E730" t="str">
        <f>IF(Data!D30="","","&lt;Placemark&gt;&lt;name&gt;Primary Surface&lt;/name&gt;&lt;styleUrl&gt;#msn_ylw-pushpin00&lt;/styleUrl&gt;&lt;Polygon&gt;&lt;extrude&gt;1&lt;/extrude&gt;&lt;tessellate&gt;1&lt;/tessellate&gt;&lt;altitudeMode&gt;absolute&lt;/altitudeMode&gt;&lt;outerBoundaryIs&gt;&lt;LinearRing&gt;")</f>
        <v>&lt;Placemark&gt;&lt;name&gt;Primary Surface&lt;/name&gt;&lt;styleUrl&gt;#msn_ylw-pushpin00&lt;/styleUrl&gt;&lt;Polygon&gt;&lt;extrude&gt;1&lt;/extrude&gt;&lt;tessellate&gt;1&lt;/tessellate&gt;&lt;altitudeMode&gt;absolute&lt;/altitudeMode&gt;&lt;outerBoundaryIs&gt;&lt;LinearRing&gt;</v>
      </c>
    </row>
    <row r="731" spans="5:9" x14ac:dyDescent="0.25">
      <c r="I731" t="str">
        <f ca="1">IF(Data!D30="","","&lt;coordinates&gt;-"&amp;Data!W64&amp;","&amp;Data!Y64&amp;","&amp;Data!AB64&amp;" -"&amp;Data!W65&amp;","&amp;Data!Y65&amp;","&amp;Data!AB65&amp;" -"&amp;Data!W66&amp;","&amp;Data!Y66&amp;","&amp;Data!AB66&amp;" -"&amp;Data!W67&amp;","&amp;Data!Y67&amp;","&amp;Data!AB67&amp;" -"&amp;Data!W64&amp;","&amp;Data!Y64&amp;","&amp;Data!AB64&amp;"&lt;/coordinates&gt;&lt;/LinearRing&gt;&lt;/outerBoundaryIs&gt;&lt;/Polygon&gt;&lt;/Placemark&gt;")</f>
        <v>&lt;coordinates&gt;-80.1344358000002,26.0583216113582,4.2672 -80.1344358000002,26.0585117286406,4.2672 -80.1466194900001,26.0591039440262,156.6672 -80.1466194900001,26.0577283559089,156.6672 -80.1344358000002,26.0583216113582,4.2672&lt;/coordinates&gt;&lt;/LinearRing&gt;&lt;/outerBoundaryIs&gt;&lt;/Polygon&gt;&lt;/Placemark&gt;</v>
      </c>
    </row>
    <row r="732" spans="5:9" x14ac:dyDescent="0.25">
      <c r="E732" t="str">
        <f>IF(Data!D30="","","&lt;Placemark&gt;&lt;name&gt;Lateral Extension Left&lt;/name&gt;&lt;styleUrl&gt;#msn_ylw-pushpin00&lt;/styleUrl&gt;&lt;Polygon&gt;&lt;extrude&gt;1&lt;/extrude&gt;&lt;tessellate&gt;1&lt;/tessellate&gt;&lt;altitudeMode&gt;absolute&lt;/altitudeMode&gt;&lt;outerBoundaryIs&gt;&lt;LinearRing&gt;")</f>
        <v>&lt;Placemark&gt;&lt;name&gt;Lateral Extension Left&lt;/name&gt;&lt;styleUrl&gt;#msn_ylw-pushpin00&lt;/styleUrl&gt;&lt;Polygon&gt;&lt;extrude&gt;1&lt;/extrude&gt;&lt;tessellate&gt;1&lt;/tessellate&gt;&lt;altitudeMode&gt;absolute&lt;/altitudeMode&gt;&lt;outerBoundaryIs&gt;&lt;LinearRing&gt;</v>
      </c>
    </row>
    <row r="733" spans="5:9" x14ac:dyDescent="0.25">
      <c r="I733" t="str">
        <f ca="1">IF(Data!D30="","","&lt;coordinates&gt;-"&amp;Data!W78&amp;","&amp;Data!Y78&amp;","&amp;Data!AB78&amp;" -"&amp;Data!W79&amp;","&amp;Data!Y79&amp;","&amp;Data!AB79&amp;" -"&amp;Data!W80&amp;","&amp;Data!Y80&amp;","&amp;Data!AB80&amp;" -"&amp;Data!W78&amp;","&amp;Data!Y78&amp;","&amp;Data!AB78&amp;"&lt;/coordinates&gt;&lt;/LinearRing&gt;&lt;/outerBoundaryIs&gt;&lt;/Polygon&gt;&lt;/Placemark&gt;")</f>
        <v>&lt;coordinates&gt;-80.1344358000002,26.0583216113582,4.2672 -80.1405276499998,26.0580251136396,80.4672 -80.1405276499998,26.0577499959961,80.4672 -80.1344358000002,26.0583216113582,4.2672&lt;/coordinates&gt;&lt;/LinearRing&gt;&lt;/outerBoundaryIs&gt;&lt;/Polygon&gt;&lt;/Placemark&gt;</v>
      </c>
    </row>
    <row r="734" spans="5:9" x14ac:dyDescent="0.25">
      <c r="E734" t="str">
        <f>IF(Data!D30="","","&lt;Placemark&gt;&lt;name&gt;Lateral Extension Right&lt;/name&gt;&lt;styleUrl&gt;#msn_ylw-pushpin00&lt;/styleUrl&gt;&lt;Polygon&gt;&lt;extrude&gt;1&lt;/extrude&gt;&lt;tessellate&gt;1&lt;/tessellate&gt;&lt;altitudeMode&gt;absolute&lt;/altitudeMode&gt;&lt;outerBoundaryIs&gt;&lt;LinearRing&gt;")</f>
        <v>&lt;Placemark&gt;&lt;name&gt;Lateral Extension Right&lt;/name&gt;&lt;styleUrl&gt;#msn_ylw-pushpin00&lt;/styleUrl&gt;&lt;Polygon&gt;&lt;extrude&gt;1&lt;/extrude&gt;&lt;tessellate&gt;1&lt;/tessellate&gt;&lt;altitudeMode&gt;absolute&lt;/altitudeMode&gt;&lt;outerBoundaryIs&gt;&lt;LinearRing&gt;</v>
      </c>
    </row>
    <row r="735" spans="5:9" x14ac:dyDescent="0.25">
      <c r="I735" t="str">
        <f ca="1">IF(Data!D30="","","&lt;coordinates&gt;-"&amp;Data!W81&amp;","&amp;Data!Y81&amp;","&amp;Data!AB81&amp;" -"&amp;Data!W82&amp;","&amp;Data!Y82&amp;","&amp;Data!AB82&amp;" -"&amp;Data!W83&amp;","&amp;Data!Y83&amp;","&amp;Data!AB83&amp;" -"&amp;Data!W81&amp;","&amp;Data!Y81&amp;","&amp;Data!AB81&amp;"&lt;/coordinates&gt;&lt;/LinearRing&gt;&lt;/outerBoundaryIs&gt;&lt;/Polygon&gt;&lt;/Placemark&gt;")</f>
        <v>&lt;coordinates&gt;-80.1344358000002,26.0585117286406,4.2672 -80.1405276499998,26.0588079663394,80.4672 -80.1405276499998,26.0590830839429,80.4672 -80.1344358000002,26.0585117286406,4.2672&lt;/coordinates&gt;&lt;/LinearRing&gt;&lt;/outerBoundaryIs&gt;&lt;/Polygon&gt;&lt;/Placemark&gt;</v>
      </c>
    </row>
    <row r="736" spans="5:9" x14ac:dyDescent="0.25">
      <c r="E736" t="str">
        <f>IF(Data!D30="","","&lt;Placemark&gt;&lt;name&gt;Transition Surface Left&lt;/name&gt;&lt;styleUrl&gt;#msn_ylw-pushpin&lt;/styleUrl&gt;&lt;Polygon&gt;&lt;extrude&gt;1&lt;/extrude&gt;&lt;tessellate&gt;1&lt;/tessellate&gt;&lt;altitudeMode&gt;absolute&lt;/altitudeMode&gt;&lt;outerBoundaryIs&gt;&lt;LinearRing&gt;")</f>
        <v>&lt;Placemark&gt;&lt;name&gt;Transition Surface Left&lt;/name&gt;&lt;styleUrl&gt;#msn_ylw-pushpin&lt;/styleUrl&gt;&lt;Polygon&gt;&lt;extrude&gt;1&lt;/extrude&gt;&lt;tessellate&gt;1&lt;/tessellate&gt;&lt;altitudeMode&gt;absolute&lt;/altitudeMode&gt;&lt;outerBoundaryIs&gt;&lt;LinearRing&gt;</v>
      </c>
    </row>
    <row r="737" spans="3:9" x14ac:dyDescent="0.25">
      <c r="I737" t="str">
        <f ca="1">IF(Data!D30="","","&lt;coordinates&gt;-"&amp;Data!W68&amp;","&amp;Data!Y68&amp;","&amp;Data!AB68&amp;" -"&amp;Data!W69&amp;","&amp;Data!Y69&amp;","&amp;Data!AB69&amp;" -"&amp;Data!W70&amp;","&amp;Data!Y70&amp;","&amp;Data!AB70&amp;" -"&amp;Data!W71&amp;","&amp;Data!Y71&amp;","&amp;Data!AB71&amp;" -"&amp;Data!W72&amp;","&amp;Data!Y72&amp;","&amp;Data!AB72&amp;" -"&amp;Data!W68&amp;","&amp;Data!Y68&amp;","&amp;Data!AB68&amp;"&lt;/coordinates&gt;&lt;/LinearRing&gt;&lt;/outerBoundaryIs&gt;&lt;/Polygon&gt;&lt;/Placemark&gt;")</f>
        <v>&lt;coordinates&gt;-80.1344358000002,26.0583216113582,4.2672 -80.1342253147771,26.0583216098466,4.2672 -80.1342253099998,26.0577288745508,37.1014752 -80.1344358000002,26.0577288745508,37.1014752 -80.1466194900001,26.0577283559089,156.6672 -80.1344358000002,26.0583216113582,4.2672&lt;/coordinates&gt;&lt;/LinearRing&gt;&lt;/outerBoundaryIs&gt;&lt;/Polygon&gt;&lt;/Placemark&gt;</v>
      </c>
    </row>
    <row r="738" spans="3:9" x14ac:dyDescent="0.25">
      <c r="E738" t="str">
        <f>IF(Data!D30="","","&lt;Placemark&gt;&lt;name&gt;Transition Surface Right&lt;/name&gt;&lt;styleUrl&gt;#msn_ylw-pushpin110&lt;/styleUrl&gt;&lt;Polygon&gt;&lt;extrude&gt;1&lt;/extrude&gt;&lt;tessellate&gt;1&lt;/tessellate&gt;&lt;altitudeMode&gt;absolute&lt;/altitudeMode&gt;&lt;outerBoundaryIs&gt;&lt;LinearRing&gt;")</f>
        <v>&lt;Placemark&gt;&lt;name&gt;Transition Surface Right&lt;/name&gt;&lt;styleUrl&gt;#msn_ylw-pushpin110&lt;/styleUrl&gt;&lt;Polygon&gt;&lt;extrude&gt;1&lt;/extrude&gt;&lt;tessellate&gt;1&lt;/tessellate&gt;&lt;altitudeMode&gt;absolute&lt;/altitudeMode&gt;&lt;outerBoundaryIs&gt;&lt;LinearRing&gt;</v>
      </c>
    </row>
    <row r="739" spans="3:9" x14ac:dyDescent="0.25">
      <c r="I739" t="str">
        <f ca="1">IF(Data!D30="","","&lt;coordinates&gt;-"&amp;Data!W73&amp;","&amp;Data!Y73&amp;","&amp;Data!AB73&amp;" -"&amp;Data!W74&amp;","&amp;Data!Y74&amp;","&amp;Data!AB74&amp;" -"&amp;Data!W75&amp;","&amp;Data!Y75&amp;","&amp;Data!AB75&amp;" -"&amp;Data!W76&amp;","&amp;Data!Y76&amp;","&amp;Data!AB76&amp;" -"&amp;Data!W77&amp;","&amp;Data!Y77&amp;","&amp;Data!AB77&amp;" -"&amp;Data!W73&amp;","&amp;Data!Y73&amp;","&amp;Data!AB73&amp;"&lt;/coordinates&gt;&lt;/LinearRing&gt;&lt;/outerBoundaryIs&gt;&lt;/Polygon&gt;&lt;/Placemark&gt;&lt;/Folder&gt;")</f>
        <v>&lt;coordinates&gt;-80.1344358000002,26.0585117286406,4.2672 -80.1342253144373,26.0585117298466,4.2672 -80.1342253099998,26.0591044653854,37.1014752 -80.1344358000002,26.0591044653854,37.1014752 -80.1466194900001,26.0591039440262,156.6672 -80.1344358000002,26.0585117286406,4.2672&lt;/coordinates&gt;&lt;/LinearRing&gt;&lt;/outerBoundaryIs&gt;&lt;/Polygon&gt;&lt;/Placemark&gt;&lt;/Folder&gt;</v>
      </c>
    </row>
    <row r="740" spans="3:9" x14ac:dyDescent="0.25">
      <c r="E740" t="str">
        <f>IF(Data!D31="","","&lt;Folder&gt;&lt;name&gt;"&amp;Obstacles!G4&amp;" Magnetic Course Outbound&lt;/name&gt;&lt;visibility&gt;0&lt;/visibility&gt;")</f>
        <v/>
      </c>
    </row>
    <row r="741" spans="3:9" x14ac:dyDescent="0.25">
      <c r="E741" t="str">
        <f>IF(Data!D31="","","&lt;Placemark&gt;&lt;name&gt;Primary Surface&lt;/name&gt;&lt;styleUrl&gt;#msn_ylw-pushpin000&lt;/styleUrl&gt;&lt;Polygon&gt;&lt;extrude&gt;1&lt;/extrude&gt;&lt;tessellate&gt;1&lt;/tessellate&gt;&lt;altitudeMode&gt;absolute&lt;/altitudeMode&gt;&lt;outerBoundaryIs&gt;&lt;LinearRing&gt;")</f>
        <v/>
      </c>
    </row>
    <row r="742" spans="3:9" x14ac:dyDescent="0.25">
      <c r="I742" t="str">
        <f>IF(Data!D31="","","&lt;coordinates&gt;-"&amp;Data!W85&amp;","&amp;Data!Y85&amp;","&amp;Data!AB85&amp;" -"&amp;Data!W86&amp;","&amp;Data!Y86&amp;","&amp;Data!AB86&amp;" -"&amp;Data!W87&amp;","&amp;Data!Y87&amp;","&amp;Data!AB87&amp;" -"&amp;Data!W88&amp;","&amp;Data!Y88&amp;","&amp;Data!AB88&amp;" -"&amp;Data!W85&amp;","&amp;Data!Y85&amp;","&amp;Data!AB85&amp;"&lt;/coordinates&gt;&lt;/LinearRing&gt;&lt;/outerBoundaryIs&gt;&lt;/Polygon&gt;&lt;/Placemark&gt;")</f>
        <v/>
      </c>
    </row>
    <row r="743" spans="3:9" x14ac:dyDescent="0.25">
      <c r="E743" t="str">
        <f>IF(Data!D31="","","&lt;Placemark&gt;&lt;name&gt;Lateral Extension Left&lt;/name&gt;&lt;styleUrl&gt;#msn_ylw-pushpin000&lt;/styleUrl&gt;&lt;Polygon&gt;&lt;extrude&gt;1&lt;/extrude&gt;&lt;tessellate&gt;1&lt;/tessellate&gt;&lt;altitudeMode&gt;absolute&lt;/altitudeMode&gt;&lt;outerBoundaryIs&gt;&lt;LinearRing&gt;")</f>
        <v/>
      </c>
    </row>
    <row r="744" spans="3:9" x14ac:dyDescent="0.25">
      <c r="I744" t="str">
        <f>IF(Data!D31="","","&lt;coordinates&gt;-"&amp;Data!W99&amp;","&amp;Data!Y99&amp;","&amp;Data!AB99&amp;" -"&amp;Data!W100&amp;","&amp;Data!Y100&amp;","&amp;Data!AB100&amp;" -"&amp;Data!W101&amp;","&amp;Data!Y101&amp;","&amp;Data!AB101&amp;" -"&amp;Data!W99&amp;","&amp;Data!Y99&amp;","&amp;Data!AB99&amp;"&lt;/coordinates&gt;&lt;/LinearRing&gt;&lt;/outerBoundaryIs&gt;&lt;/Polygon&gt;&lt;/Placemark&gt;")</f>
        <v/>
      </c>
    </row>
    <row r="745" spans="3:9" x14ac:dyDescent="0.25">
      <c r="E745" t="str">
        <f>IF(Data!D31="","","&lt;Placemark&gt;&lt;name&gt;Lateral Extension Right&lt;/name&gt;&lt;styleUrl&gt;#msn_ylw-pushpin000&lt;/styleUrl&gt;&lt;Polygon&gt;&lt;extrude&gt;1&lt;/extrude&gt;&lt;tessellate&gt;1&lt;/tessellate&gt;&lt;altitudeMode&gt;absolute&lt;/altitudeMode&gt;&lt;outerBoundaryIs&gt;&lt;LinearRing&gt;")</f>
        <v/>
      </c>
    </row>
    <row r="746" spans="3:9" x14ac:dyDescent="0.25">
      <c r="I746" t="str">
        <f>IF(Data!D31="","","&lt;coordinates&gt;-"&amp;Data!W102&amp;","&amp;Data!Y102&amp;","&amp;Data!AB102&amp;" -"&amp;Data!W103&amp;","&amp;Data!Y103&amp;","&amp;Data!AB103&amp;" -"&amp;Data!W104&amp;","&amp;Data!Y104&amp;","&amp;Data!AB104&amp;" -"&amp;Data!W102&amp;","&amp;Data!Y102&amp;","&amp;Data!AB102&amp;"&lt;/coordinates&gt;&lt;/LinearRing&gt;&lt;/outerBoundaryIs&gt;&lt;/Polygon&gt;&lt;/Placemark&gt;")</f>
        <v/>
      </c>
    </row>
    <row r="747" spans="3:9" x14ac:dyDescent="0.25">
      <c r="E747" t="str">
        <f>IF(Data!D31="","","&lt;Placemark&gt;&lt;name&gt;Transition Surface Left&lt;/name&gt;&lt;styleUrl&gt;#msn_ylw-pushpin101&lt;/styleUrl&gt;&lt;Polygon&gt;&lt;extrude&gt;1&lt;/extrude&gt;&lt;tessellate&gt;1&lt;/tessellate&gt;&lt;altitudeMode&gt;absolute&lt;/altitudeMode&gt;&lt;outerBoundaryIs&gt;&lt;LinearRing&gt;")</f>
        <v/>
      </c>
    </row>
    <row r="748" spans="3:9" x14ac:dyDescent="0.25">
      <c r="I748" t="str">
        <f>IF(Data!D31="","","&lt;coordinates&gt;-"&amp;Data!W89&amp;","&amp;Data!Y89&amp;","&amp;Data!AB89&amp;" -"&amp;Data!W90&amp;","&amp;Data!Y90&amp;","&amp;Data!AB90&amp;" -"&amp;Data!W91&amp;","&amp;Data!Y91&amp;","&amp;Data!AB91&amp;" -"&amp;Data!W92&amp;","&amp;Data!Y92&amp;","&amp;Data!AB92&amp;" -"&amp;Data!W93&amp;","&amp;Data!Y93&amp;","&amp;Data!AB93&amp;" -"&amp;Data!W89&amp;","&amp;Data!Y89&amp;","&amp;Data!AB89&amp;"&lt;/coordinates&gt;&lt;/LinearRing&gt;&lt;/outerBoundaryIs&gt;&lt;/Polygon&gt;&lt;/Placemark&gt;")</f>
        <v/>
      </c>
    </row>
    <row r="749" spans="3:9" x14ac:dyDescent="0.25">
      <c r="E749" t="str">
        <f>IF(Data!D31="","","&lt;Placemark&gt;&lt;name&gt;Transition Surface Right&lt;/name&gt;&lt;styleUrl&gt;#msn_ylw-pushpin100&lt;/styleUrl&gt;&lt;Polygon&gt;&lt;extrude&gt;1&lt;/extrude&gt;&lt;tessellate&gt;1&lt;/tessellate&gt;&lt;altitudeMode&gt;absolute&lt;/altitudeMode&gt;&lt;outerBoundaryIs&gt;&lt;LinearRing&gt;")</f>
        <v/>
      </c>
    </row>
    <row r="750" spans="3:9" x14ac:dyDescent="0.25">
      <c r="I750" t="str">
        <f>IF(Data!D31="","","&lt;coordinates&gt;-"&amp;Data!W94&amp;","&amp;Data!Y94&amp;","&amp;Data!AB94&amp;" -"&amp;Data!W95&amp;","&amp;Data!Y95&amp;","&amp;Data!AB95&amp;" -"&amp;Data!W96&amp;","&amp;Data!Y96&amp;","&amp;Data!AB96&amp;" -"&amp;Data!W97&amp;","&amp;Data!Y97&amp;","&amp;Data!AB97&amp;" -"&amp;Data!W98&amp;","&amp;Data!Y98&amp;","&amp;Data!AB98&amp;" -"&amp;Data!W94&amp;","&amp;Data!Y94&amp;","&amp;Data!AB94&amp;"&lt;/coordinates&gt;&lt;/LinearRing&gt;&lt;/outerBoundaryIs&gt;&lt;/Polygon&gt;&lt;/Placemark&gt;&lt;/Folder&gt;")</f>
        <v/>
      </c>
    </row>
    <row r="751" spans="3:9" x14ac:dyDescent="0.25">
      <c r="C751" t="s">
        <v>260</v>
      </c>
    </row>
    <row r="752" spans="3:9" x14ac:dyDescent="0.25">
      <c r="C752" t="s">
        <v>246</v>
      </c>
    </row>
    <row r="753" spans="4:8" x14ac:dyDescent="0.25">
      <c r="D753" t="s">
        <v>426</v>
      </c>
    </row>
    <row r="754" spans="4:8" x14ac:dyDescent="0.25">
      <c r="D754" t="s">
        <v>425</v>
      </c>
    </row>
    <row r="755" spans="4:8" x14ac:dyDescent="0.25">
      <c r="D755" t="s">
        <v>248</v>
      </c>
    </row>
    <row r="756" spans="4:8" x14ac:dyDescent="0.25">
      <c r="E756" t="s">
        <v>427</v>
      </c>
    </row>
    <row r="757" spans="4:8" x14ac:dyDescent="0.25">
      <c r="E757" t="s">
        <v>425</v>
      </c>
    </row>
    <row r="758" spans="4:8" x14ac:dyDescent="0.25">
      <c r="E758" t="s">
        <v>428</v>
      </c>
    </row>
    <row r="759" spans="4:8" x14ac:dyDescent="0.25">
      <c r="E759" t="s">
        <v>249</v>
      </c>
    </row>
    <row r="760" spans="4:8" x14ac:dyDescent="0.25">
      <c r="F760" t="s">
        <v>250</v>
      </c>
    </row>
    <row r="761" spans="4:8" x14ac:dyDescent="0.25">
      <c r="F761" t="s">
        <v>251</v>
      </c>
    </row>
    <row r="762" spans="4:8" x14ac:dyDescent="0.25">
      <c r="F762" t="s">
        <v>252</v>
      </c>
    </row>
    <row r="763" spans="4:8" x14ac:dyDescent="0.25">
      <c r="F763" t="s">
        <v>253</v>
      </c>
    </row>
    <row r="764" spans="4:8" x14ac:dyDescent="0.25">
      <c r="G764" t="s">
        <v>254</v>
      </c>
    </row>
    <row r="765" spans="4:8" x14ac:dyDescent="0.25">
      <c r="H765" t="str">
        <f ca="1">"&lt;coordinates&gt;-"&amp;Data!$AX$127&amp;","&amp;Data!$AX$126&amp;","&amp;Data!$AB$43&amp;" -"&amp;Data!$AX$104&amp;","&amp;Data!$AX$103&amp;","&amp;Data!$AB$45&amp;" -"&amp;Data!$AY$104&amp;","&amp;Data!$AY$103&amp;","&amp;Data!$AB$45&amp;" -"&amp;Data!$AY$127&amp;","&amp;Data!$AY$126&amp;","&amp;Data!$AB$43&amp;" -"&amp;Data!$AX$127&amp;","&amp;Data!$AX$126&amp;","&amp;Data!$AB$43&amp;"&lt;/coordinates&gt;"</f>
        <v>&lt;coordinates&gt;-80.1343305599999,26.0585117286406,4.2672 -80.1343305599999,26.0695164251154,156.6672 -80.1281855932226,26.0680292101361,156.6672 -80.1342779386152,26.0584989931881,4.2672 -80.1343305599999,26.0585117286406,4.2672&lt;/coordinates&gt;</v>
      </c>
    </row>
    <row r="766" spans="4:8" x14ac:dyDescent="0.25">
      <c r="G766" t="s">
        <v>255</v>
      </c>
    </row>
    <row r="767" spans="4:8" x14ac:dyDescent="0.25">
      <c r="F767" t="s">
        <v>256</v>
      </c>
    </row>
    <row r="768" spans="4:8" x14ac:dyDescent="0.25">
      <c r="E768" t="s">
        <v>257</v>
      </c>
    </row>
    <row r="769" spans="4:8" x14ac:dyDescent="0.25">
      <c r="D769" t="s">
        <v>258</v>
      </c>
    </row>
    <row r="770" spans="4:8" x14ac:dyDescent="0.25">
      <c r="D770" t="s">
        <v>248</v>
      </c>
    </row>
    <row r="771" spans="4:8" x14ac:dyDescent="0.25">
      <c r="E771" t="s">
        <v>429</v>
      </c>
    </row>
    <row r="772" spans="4:8" x14ac:dyDescent="0.25">
      <c r="E772" t="s">
        <v>425</v>
      </c>
    </row>
    <row r="773" spans="4:8" x14ac:dyDescent="0.25">
      <c r="E773" t="s">
        <v>428</v>
      </c>
    </row>
    <row r="774" spans="4:8" x14ac:dyDescent="0.25">
      <c r="E774" t="s">
        <v>249</v>
      </c>
    </row>
    <row r="775" spans="4:8" x14ac:dyDescent="0.25">
      <c r="F775" t="s">
        <v>250</v>
      </c>
    </row>
    <row r="776" spans="4:8" x14ac:dyDescent="0.25">
      <c r="F776" t="s">
        <v>251</v>
      </c>
    </row>
    <row r="777" spans="4:8" x14ac:dyDescent="0.25">
      <c r="F777" t="s">
        <v>252</v>
      </c>
    </row>
    <row r="778" spans="4:8" x14ac:dyDescent="0.25">
      <c r="F778" t="s">
        <v>253</v>
      </c>
    </row>
    <row r="779" spans="4:8" x14ac:dyDescent="0.25">
      <c r="G779" t="s">
        <v>254</v>
      </c>
    </row>
    <row r="780" spans="4:8" x14ac:dyDescent="0.25">
      <c r="H780" t="str">
        <f ca="1">"&lt;coordinates&gt;-"&amp;Data!$AY$127&amp;","&amp;Data!$AY$126&amp;","&amp;Data!$AB$43&amp;" -"&amp;Data!$AY$104&amp;","&amp;Data!$AY$103&amp;","&amp;Data!$AB$45&amp;" -"&amp;Data!$AZ$104&amp;","&amp;Data!$AZ$103&amp;","&amp;Data!$AB$45&amp;" -"&amp;Data!$AZ$127&amp;","&amp;Data!$AZ$126&amp;","&amp;Data!$AB$43&amp;" -"&amp;Data!$AY$127&amp;","&amp;Data!$AY$126&amp;","&amp;Data!$AB$43&amp;"&lt;/coordinates&gt;"</f>
        <v>&lt;coordinates&gt;-80.1342779386152,26.0584989931881,4.2672 -80.1281855932226,26.0680292101361,156.6672 -80.1236875324853,26.0639661574505,156.6672 -80.1342394171145,26.0584641992917,4.2672 -80.1342779386152,26.0584989931881,4.2672&lt;/coordinates&gt;</v>
      </c>
    </row>
    <row r="781" spans="4:8" x14ac:dyDescent="0.25">
      <c r="G781" t="s">
        <v>255</v>
      </c>
    </row>
    <row r="782" spans="4:8" x14ac:dyDescent="0.25">
      <c r="F782" t="s">
        <v>256</v>
      </c>
    </row>
    <row r="783" spans="4:8" x14ac:dyDescent="0.25">
      <c r="E783" t="s">
        <v>257</v>
      </c>
    </row>
    <row r="784" spans="4:8" x14ac:dyDescent="0.25">
      <c r="D784" t="s">
        <v>258</v>
      </c>
    </row>
    <row r="785" spans="4:8" x14ac:dyDescent="0.25">
      <c r="D785" t="s">
        <v>248</v>
      </c>
    </row>
    <row r="786" spans="4:8" x14ac:dyDescent="0.25">
      <c r="E786" t="s">
        <v>430</v>
      </c>
    </row>
    <row r="787" spans="4:8" x14ac:dyDescent="0.25">
      <c r="E787" t="s">
        <v>425</v>
      </c>
    </row>
    <row r="788" spans="4:8" x14ac:dyDescent="0.25">
      <c r="E788" t="s">
        <v>428</v>
      </c>
    </row>
    <row r="789" spans="4:8" x14ac:dyDescent="0.25">
      <c r="E789" t="s">
        <v>249</v>
      </c>
    </row>
    <row r="790" spans="4:8" x14ac:dyDescent="0.25">
      <c r="F790" t="s">
        <v>250</v>
      </c>
    </row>
    <row r="791" spans="4:8" x14ac:dyDescent="0.25">
      <c r="F791" t="s">
        <v>251</v>
      </c>
    </row>
    <row r="792" spans="4:8" x14ac:dyDescent="0.25">
      <c r="F792" t="s">
        <v>252</v>
      </c>
    </row>
    <row r="793" spans="4:8" x14ac:dyDescent="0.25">
      <c r="F793" t="s">
        <v>253</v>
      </c>
    </row>
    <row r="794" spans="4:8" x14ac:dyDescent="0.25">
      <c r="G794" t="s">
        <v>254</v>
      </c>
    </row>
    <row r="795" spans="4:8" x14ac:dyDescent="0.25">
      <c r="H795" t="str">
        <f ca="1">"&lt;coordinates&gt;-"&amp;Data!$AZ$127&amp;","&amp;Data!$AZ$126&amp;","&amp;Data!$AB$43&amp;" -"&amp;Data!$AZ$104&amp;","&amp;Data!$AZ$103&amp;","&amp;Data!$AB$45&amp;" -"&amp;Data!$BA$104&amp;","&amp;Data!$BA$103&amp;","&amp;Data!$AB$45&amp;" -"&amp;Data!$BA$127&amp;","&amp;Data!$BA$126&amp;","&amp;Data!$AB$43&amp;" -"&amp;Data!$AZ$127&amp;","&amp;Data!$AZ$126&amp;","&amp;Data!$AB$43&amp;"&lt;/coordinates&gt;"</f>
        <v>&lt;coordinates&gt;-80.1342394171145,26.0584641992917,4.2672 -80.1236875324853,26.0639661574505,156.6672 -80.1220416294004,26.0584161470938,156.6672 -80.1342253173033,26.0584166699617,4.2672 -80.1342394171145,26.0584641992917,4.2672&lt;/coordinates&gt;</v>
      </c>
    </row>
    <row r="796" spans="4:8" x14ac:dyDescent="0.25">
      <c r="G796" t="s">
        <v>255</v>
      </c>
    </row>
    <row r="797" spans="4:8" x14ac:dyDescent="0.25">
      <c r="F797" t="s">
        <v>256</v>
      </c>
    </row>
    <row r="798" spans="4:8" x14ac:dyDescent="0.25">
      <c r="E798" t="s">
        <v>257</v>
      </c>
    </row>
    <row r="799" spans="4:8" x14ac:dyDescent="0.25">
      <c r="D799" t="s">
        <v>258</v>
      </c>
    </row>
    <row r="800" spans="4:8" x14ac:dyDescent="0.25">
      <c r="D800" t="s">
        <v>248</v>
      </c>
    </row>
    <row r="801" spans="4:8" x14ac:dyDescent="0.25">
      <c r="E801" t="s">
        <v>431</v>
      </c>
    </row>
    <row r="802" spans="4:8" x14ac:dyDescent="0.25">
      <c r="E802" t="s">
        <v>425</v>
      </c>
    </row>
    <row r="803" spans="4:8" x14ac:dyDescent="0.25">
      <c r="E803" t="s">
        <v>428</v>
      </c>
    </row>
    <row r="804" spans="4:8" x14ac:dyDescent="0.25">
      <c r="E804" t="s">
        <v>249</v>
      </c>
    </row>
    <row r="805" spans="4:8" x14ac:dyDescent="0.25">
      <c r="F805" t="s">
        <v>250</v>
      </c>
    </row>
    <row r="806" spans="4:8" x14ac:dyDescent="0.25">
      <c r="F806" t="s">
        <v>251</v>
      </c>
    </row>
    <row r="807" spans="4:8" x14ac:dyDescent="0.25">
      <c r="F807" t="s">
        <v>252</v>
      </c>
    </row>
    <row r="808" spans="4:8" x14ac:dyDescent="0.25">
      <c r="F808" t="s">
        <v>253</v>
      </c>
    </row>
    <row r="809" spans="4:8" x14ac:dyDescent="0.25">
      <c r="G809" t="s">
        <v>254</v>
      </c>
    </row>
    <row r="810" spans="4:8" x14ac:dyDescent="0.25">
      <c r="H810" t="str">
        <f ca="1">"&lt;coordinates&gt;-"&amp;Data!$BA$127&amp;","&amp;Data!$BA$126&amp;","&amp;Data!$AB$43&amp;" -"&amp;Data!$BA$104&amp;","&amp;Data!$BA$103&amp;","&amp;Data!$AB$45&amp;" -"&amp;Data!$BB$104&amp;","&amp;Data!$BB$103&amp;","&amp;Data!$AB$45&amp;" -"&amp;Data!$BB$127&amp;","&amp;Data!$BB$126&amp;","&amp;Data!$AB$43&amp;" -"&amp;Data!$BA$127&amp;","&amp;Data!$BA$126&amp;","&amp;Data!$AB$43&amp;"&lt;/coordinates&gt;"</f>
        <v>&lt;coordinates&gt;-80.1342253173033,26.0584166699617,4.2672 -80.1220416294004,26.0584161470938,156.6672 -80.123688535217,26.0528663939586,156.6672 -80.1342394171879,26.0583691406505,4.2672 -80.1342253173033,26.0584166699617,4.2672&lt;/coordinates&gt;</v>
      </c>
    </row>
    <row r="811" spans="4:8" x14ac:dyDescent="0.25">
      <c r="G811" t="s">
        <v>255</v>
      </c>
    </row>
    <row r="812" spans="4:8" x14ac:dyDescent="0.25">
      <c r="F812" t="s">
        <v>256</v>
      </c>
    </row>
    <row r="813" spans="4:8" x14ac:dyDescent="0.25">
      <c r="E813" t="s">
        <v>257</v>
      </c>
    </row>
    <row r="814" spans="4:8" x14ac:dyDescent="0.25">
      <c r="D814" t="s">
        <v>258</v>
      </c>
    </row>
    <row r="815" spans="4:8" x14ac:dyDescent="0.25">
      <c r="D815" t="s">
        <v>248</v>
      </c>
    </row>
    <row r="816" spans="4:8" x14ac:dyDescent="0.25">
      <c r="E816" t="s">
        <v>432</v>
      </c>
    </row>
    <row r="817" spans="4:8" x14ac:dyDescent="0.25">
      <c r="E817" t="s">
        <v>425</v>
      </c>
    </row>
    <row r="818" spans="4:8" x14ac:dyDescent="0.25">
      <c r="E818" t="s">
        <v>428</v>
      </c>
    </row>
    <row r="819" spans="4:8" x14ac:dyDescent="0.25">
      <c r="E819" t="s">
        <v>249</v>
      </c>
    </row>
    <row r="820" spans="4:8" x14ac:dyDescent="0.25">
      <c r="F820" t="s">
        <v>250</v>
      </c>
    </row>
    <row r="821" spans="4:8" x14ac:dyDescent="0.25">
      <c r="F821" t="s">
        <v>251</v>
      </c>
    </row>
    <row r="822" spans="4:8" x14ac:dyDescent="0.25">
      <c r="F822" t="s">
        <v>252</v>
      </c>
    </row>
    <row r="823" spans="4:8" x14ac:dyDescent="0.25">
      <c r="F823" t="s">
        <v>253</v>
      </c>
    </row>
    <row r="824" spans="4:8" x14ac:dyDescent="0.25">
      <c r="G824" t="s">
        <v>254</v>
      </c>
    </row>
    <row r="825" spans="4:8" x14ac:dyDescent="0.25">
      <c r="H825" t="str">
        <f ca="1">"&lt;coordinates&gt;-"&amp;Data!$BB$127&amp;","&amp;Data!$BB$126&amp;","&amp;Data!$AB$43&amp;" -"&amp;Data!$BB$104&amp;","&amp;Data!$BB$103&amp;","&amp;Data!$AB$45&amp;" -"&amp;Data!$BC$104&amp;","&amp;Data!$BC$103&amp;","&amp;Data!$AB$45&amp;" -"&amp;Data!$BC$127&amp;","&amp;Data!$BC$126&amp;","&amp;Data!$AB$43&amp;" -"&amp;Data!$BB$127&amp;","&amp;Data!$BB$126&amp;","&amp;Data!$AB$43&amp;"&lt;/coordinates&gt;"</f>
        <v>&lt;coordinates&gt;-80.1342394171879,26.0583691406505,4.2672 -80.123688535217,26.0528663939586,156.6672 -80.1281865959543,26.0488038557163,156.6672 -80.1342779386886,26.0583343467918,4.2672 -80.1342394171879,26.0583691406505,4.2672&lt;/coordinates&gt;</v>
      </c>
    </row>
    <row r="826" spans="4:8" x14ac:dyDescent="0.25">
      <c r="G826" t="s">
        <v>255</v>
      </c>
    </row>
    <row r="827" spans="4:8" x14ac:dyDescent="0.25">
      <c r="F827" t="s">
        <v>256</v>
      </c>
    </row>
    <row r="828" spans="4:8" x14ac:dyDescent="0.25">
      <c r="E828" t="s">
        <v>257</v>
      </c>
    </row>
    <row r="829" spans="4:8" x14ac:dyDescent="0.25">
      <c r="D829" t="s">
        <v>258</v>
      </c>
    </row>
    <row r="830" spans="4:8" x14ac:dyDescent="0.25">
      <c r="D830" t="s">
        <v>248</v>
      </c>
    </row>
    <row r="831" spans="4:8" x14ac:dyDescent="0.25">
      <c r="E831" t="s">
        <v>433</v>
      </c>
    </row>
    <row r="832" spans="4:8" x14ac:dyDescent="0.25">
      <c r="E832" t="s">
        <v>425</v>
      </c>
    </row>
    <row r="833" spans="4:8" x14ac:dyDescent="0.25">
      <c r="E833" t="s">
        <v>428</v>
      </c>
    </row>
    <row r="834" spans="4:8" x14ac:dyDescent="0.25">
      <c r="E834" t="s">
        <v>249</v>
      </c>
    </row>
    <row r="835" spans="4:8" x14ac:dyDescent="0.25">
      <c r="F835" t="s">
        <v>250</v>
      </c>
    </row>
    <row r="836" spans="4:8" x14ac:dyDescent="0.25">
      <c r="F836" t="s">
        <v>251</v>
      </c>
    </row>
    <row r="837" spans="4:8" x14ac:dyDescent="0.25">
      <c r="F837" t="s">
        <v>252</v>
      </c>
    </row>
    <row r="838" spans="4:8" x14ac:dyDescent="0.25">
      <c r="F838" t="s">
        <v>253</v>
      </c>
    </row>
    <row r="839" spans="4:8" x14ac:dyDescent="0.25">
      <c r="G839" t="s">
        <v>254</v>
      </c>
    </row>
    <row r="840" spans="4:8" x14ac:dyDescent="0.25">
      <c r="H840" t="str">
        <f ca="1">"&lt;coordinates&gt;-"&amp;Data!$BC$127&amp;","&amp;Data!$BC$126&amp;","&amp;Data!$AB$43&amp;" -"&amp;Data!$BC$104&amp;","&amp;Data!$BC$103&amp;","&amp;Data!$AB$45&amp;" -"&amp;Data!$BD$104&amp;","&amp;Data!$BD$103&amp;","&amp;Data!$AB$45&amp;" -"&amp;Data!$BD$127&amp;","&amp;Data!$BD$126&amp;","&amp;Data!$AB$43&amp;" -"&amp;Data!$BC$127&amp;","&amp;Data!$BC$126&amp;","&amp;Data!$AB$43&amp;"&lt;/coordinates&gt;"</f>
        <v>&lt;coordinates&gt;-80.1342779386886,26.0583343467918,4.2672 -80.1281865959543,26.0488038557163,156.6672 -80.1343305599999,26.0473168979586,156.6672 -80.1343305599999,26.0583216113582,4.2672 -80.1342779386886,26.0583343467918,4.2672&lt;/coordinates&gt;</v>
      </c>
    </row>
    <row r="841" spans="4:8" x14ac:dyDescent="0.25">
      <c r="G841" t="s">
        <v>255</v>
      </c>
    </row>
    <row r="842" spans="4:8" x14ac:dyDescent="0.25">
      <c r="F842" t="s">
        <v>256</v>
      </c>
    </row>
    <row r="843" spans="4:8" x14ac:dyDescent="0.25">
      <c r="E843" t="s">
        <v>257</v>
      </c>
    </row>
    <row r="844" spans="4:8" x14ac:dyDescent="0.25">
      <c r="D844" t="s">
        <v>258</v>
      </c>
    </row>
    <row r="845" spans="4:8" x14ac:dyDescent="0.25">
      <c r="D845" t="s">
        <v>248</v>
      </c>
    </row>
    <row r="846" spans="4:8" x14ac:dyDescent="0.25">
      <c r="E846" t="s">
        <v>451</v>
      </c>
    </row>
    <row r="847" spans="4:8" x14ac:dyDescent="0.25">
      <c r="E847" t="s">
        <v>425</v>
      </c>
    </row>
    <row r="848" spans="4:8" x14ac:dyDescent="0.25">
      <c r="E848" t="s">
        <v>428</v>
      </c>
    </row>
    <row r="849" spans="4:8" x14ac:dyDescent="0.25">
      <c r="E849" t="s">
        <v>249</v>
      </c>
    </row>
    <row r="850" spans="4:8" x14ac:dyDescent="0.25">
      <c r="F850" t="s">
        <v>250</v>
      </c>
    </row>
    <row r="851" spans="4:8" x14ac:dyDescent="0.25">
      <c r="F851" t="s">
        <v>251</v>
      </c>
    </row>
    <row r="852" spans="4:8" x14ac:dyDescent="0.25">
      <c r="F852" t="s">
        <v>252</v>
      </c>
    </row>
    <row r="853" spans="4:8" x14ac:dyDescent="0.25">
      <c r="F853" t="s">
        <v>253</v>
      </c>
    </row>
    <row r="854" spans="4:8" x14ac:dyDescent="0.25">
      <c r="G854" t="s">
        <v>254</v>
      </c>
    </row>
    <row r="855" spans="4:8" x14ac:dyDescent="0.25">
      <c r="H855" t="str">
        <f ca="1">"&lt;coordinates&gt;-"&amp;Data!$BD$127&amp;","&amp;Data!$BD$126&amp;","&amp;Data!$AB$43&amp;" -"&amp;Data!$BD$104&amp;","&amp;Data!$BD$103&amp;","&amp;Data!$AB$45&amp;" -"&amp;Data!$BE$104&amp;","&amp;Data!$BE$103&amp;","&amp;Data!$AB$45&amp;" -"&amp;Data!$BE$127&amp;","&amp;Data!$BE$126&amp;","&amp;Data!$AB$43&amp;" -"&amp;Data!$BD$127&amp;","&amp;Data!$BD$126&amp;","&amp;Data!$AB$43&amp;"&lt;/coordinates&gt;"</f>
        <v>&lt;coordinates&gt;-80.1343305599999,26.0583216113582,4.2672 -80.1343305599999,26.0473168979586,156.6672 -80.1404745240455,26.0488038557163,156.6672 -80.1343831813113,26.0583343467918,4.2672 -80.1343305599999,26.0583216113582,4.2672&lt;/coordinates&gt;</v>
      </c>
    </row>
    <row r="856" spans="4:8" x14ac:dyDescent="0.25">
      <c r="G856" t="s">
        <v>255</v>
      </c>
    </row>
    <row r="857" spans="4:8" x14ac:dyDescent="0.25">
      <c r="F857" t="s">
        <v>256</v>
      </c>
    </row>
    <row r="858" spans="4:8" x14ac:dyDescent="0.25">
      <c r="E858" t="s">
        <v>257</v>
      </c>
    </row>
    <row r="859" spans="4:8" x14ac:dyDescent="0.25">
      <c r="D859" t="s">
        <v>258</v>
      </c>
    </row>
    <row r="860" spans="4:8" x14ac:dyDescent="0.25">
      <c r="D860" t="s">
        <v>248</v>
      </c>
    </row>
    <row r="861" spans="4:8" x14ac:dyDescent="0.25">
      <c r="E861" t="s">
        <v>434</v>
      </c>
    </row>
    <row r="862" spans="4:8" x14ac:dyDescent="0.25">
      <c r="E862" t="s">
        <v>425</v>
      </c>
    </row>
    <row r="863" spans="4:8" x14ac:dyDescent="0.25">
      <c r="E863" t="s">
        <v>428</v>
      </c>
    </row>
    <row r="864" spans="4:8" x14ac:dyDescent="0.25">
      <c r="E864" t="s">
        <v>249</v>
      </c>
    </row>
    <row r="865" spans="4:8" x14ac:dyDescent="0.25">
      <c r="F865" t="s">
        <v>250</v>
      </c>
    </row>
    <row r="866" spans="4:8" x14ac:dyDescent="0.25">
      <c r="F866" t="s">
        <v>251</v>
      </c>
    </row>
    <row r="867" spans="4:8" x14ac:dyDescent="0.25">
      <c r="F867" t="s">
        <v>252</v>
      </c>
    </row>
    <row r="868" spans="4:8" x14ac:dyDescent="0.25">
      <c r="F868" t="s">
        <v>253</v>
      </c>
    </row>
    <row r="869" spans="4:8" x14ac:dyDescent="0.25">
      <c r="G869" t="s">
        <v>254</v>
      </c>
    </row>
    <row r="870" spans="4:8" x14ac:dyDescent="0.25">
      <c r="H870" t="str">
        <f ca="1">"&lt;coordinates&gt;-"&amp;Data!$BE$127&amp;","&amp;Data!$BE$126&amp;","&amp;Data!$AB$43&amp;" -"&amp;Data!$BE$104&amp;","&amp;Data!$BE$103&amp;","&amp;Data!$AB$45&amp;" -"&amp;Data!$BF$104&amp;","&amp;Data!$BF$103&amp;","&amp;Data!$AB$45&amp;" -"&amp;Data!$BF$127&amp;","&amp;Data!$BF$126&amp;","&amp;Data!$AB$43&amp;" -"&amp;Data!$BE$127&amp;","&amp;Data!$BE$126&amp;","&amp;Data!$AB$43&amp;"&lt;/coordinates&gt;"</f>
        <v>&lt;coordinates&gt;-80.1343831813113,26.0583343467918,4.2672 -80.1404745240455,26.0488038557163,156.6672 -80.1449725847828,26.0528663939586,156.6672 -80.134421702812,26.0583691406505,4.2672 -80.1343831813113,26.0583343467918,4.2672&lt;/coordinates&gt;</v>
      </c>
    </row>
    <row r="871" spans="4:8" x14ac:dyDescent="0.25">
      <c r="G871" t="s">
        <v>255</v>
      </c>
    </row>
    <row r="872" spans="4:8" x14ac:dyDescent="0.25">
      <c r="F872" t="s">
        <v>256</v>
      </c>
    </row>
    <row r="873" spans="4:8" x14ac:dyDescent="0.25">
      <c r="E873" t="s">
        <v>257</v>
      </c>
    </row>
    <row r="874" spans="4:8" x14ac:dyDescent="0.25">
      <c r="D874" t="s">
        <v>258</v>
      </c>
    </row>
    <row r="875" spans="4:8" x14ac:dyDescent="0.25">
      <c r="D875" t="s">
        <v>248</v>
      </c>
    </row>
    <row r="876" spans="4:8" x14ac:dyDescent="0.25">
      <c r="E876" t="s">
        <v>435</v>
      </c>
    </row>
    <row r="877" spans="4:8" x14ac:dyDescent="0.25">
      <c r="E877" t="s">
        <v>425</v>
      </c>
    </row>
    <row r="878" spans="4:8" x14ac:dyDescent="0.25">
      <c r="E878" t="s">
        <v>428</v>
      </c>
    </row>
    <row r="879" spans="4:8" x14ac:dyDescent="0.25">
      <c r="E879" t="s">
        <v>249</v>
      </c>
    </row>
    <row r="880" spans="4:8" x14ac:dyDescent="0.25">
      <c r="F880" t="s">
        <v>250</v>
      </c>
    </row>
    <row r="881" spans="4:8" x14ac:dyDescent="0.25">
      <c r="F881" t="s">
        <v>251</v>
      </c>
    </row>
    <row r="882" spans="4:8" x14ac:dyDescent="0.25">
      <c r="F882" t="s">
        <v>252</v>
      </c>
    </row>
    <row r="883" spans="4:8" x14ac:dyDescent="0.25">
      <c r="F883" t="s">
        <v>253</v>
      </c>
    </row>
    <row r="884" spans="4:8" x14ac:dyDescent="0.25">
      <c r="G884" t="s">
        <v>254</v>
      </c>
    </row>
    <row r="885" spans="4:8" x14ac:dyDescent="0.25">
      <c r="H885" t="str">
        <f ca="1">"&lt;coordinates&gt;-"&amp;Data!$BF$127&amp;","&amp;Data!$BF$126&amp;","&amp;Data!$AB$43&amp;" -"&amp;Data!$BF$104&amp;","&amp;Data!$BF$103&amp;","&amp;Data!$AB$45&amp;" -"&amp;Data!$BG$104&amp;","&amp;Data!$BG$103&amp;","&amp;Data!$AB$45&amp;" -"&amp;Data!$BG$127&amp;","&amp;Data!$BG$126&amp;","&amp;Data!$AB$43&amp;" -"&amp;Data!$BF$127&amp;","&amp;Data!$BF$126&amp;","&amp;Data!$AB$43&amp;"&lt;/coordinates&gt;"</f>
        <v>&lt;coordinates&gt;-80.134421702812,26.0583691406505,4.2672 -80.1449725847828,26.0528663939586,156.6672 -80.1466194905994,26.0584161470938,156.6672 -80.1344358026966,26.0584166699617,4.2672 -80.134421702812,26.0583691406505,4.2672&lt;/coordinates&gt;</v>
      </c>
    </row>
    <row r="886" spans="4:8" x14ac:dyDescent="0.25">
      <c r="G886" t="s">
        <v>255</v>
      </c>
    </row>
    <row r="887" spans="4:8" x14ac:dyDescent="0.25">
      <c r="F887" t="s">
        <v>256</v>
      </c>
    </row>
    <row r="888" spans="4:8" x14ac:dyDescent="0.25">
      <c r="E888" t="s">
        <v>257</v>
      </c>
    </row>
    <row r="889" spans="4:8" x14ac:dyDescent="0.25">
      <c r="D889" t="s">
        <v>258</v>
      </c>
    </row>
    <row r="890" spans="4:8" x14ac:dyDescent="0.25">
      <c r="D890" t="s">
        <v>248</v>
      </c>
    </row>
    <row r="891" spans="4:8" x14ac:dyDescent="0.25">
      <c r="E891" t="s">
        <v>436</v>
      </c>
    </row>
    <row r="892" spans="4:8" x14ac:dyDescent="0.25">
      <c r="E892" t="s">
        <v>425</v>
      </c>
    </row>
    <row r="893" spans="4:8" x14ac:dyDescent="0.25">
      <c r="E893" t="s">
        <v>428</v>
      </c>
    </row>
    <row r="894" spans="4:8" x14ac:dyDescent="0.25">
      <c r="E894" t="s">
        <v>249</v>
      </c>
    </row>
    <row r="895" spans="4:8" x14ac:dyDescent="0.25">
      <c r="F895" t="s">
        <v>250</v>
      </c>
    </row>
    <row r="896" spans="4:8" x14ac:dyDescent="0.25">
      <c r="F896" t="s">
        <v>251</v>
      </c>
    </row>
    <row r="897" spans="4:8" x14ac:dyDescent="0.25">
      <c r="F897" t="s">
        <v>252</v>
      </c>
    </row>
    <row r="898" spans="4:8" x14ac:dyDescent="0.25">
      <c r="F898" t="s">
        <v>253</v>
      </c>
    </row>
    <row r="899" spans="4:8" x14ac:dyDescent="0.25">
      <c r="G899" t="s">
        <v>254</v>
      </c>
    </row>
    <row r="900" spans="4:8" x14ac:dyDescent="0.25">
      <c r="H900" t="str">
        <f ca="1">"&lt;coordinates&gt;-"&amp;Data!$BG$127&amp;","&amp;Data!$BG$126&amp;","&amp;Data!$AB$43&amp;" -"&amp;Data!$BG$104&amp;","&amp;Data!$BG$103&amp;","&amp;Data!$AB$45&amp;" -"&amp;Data!$BH$104&amp;","&amp;Data!$BH$103&amp;","&amp;Data!$AB$45&amp;" -"&amp;Data!$BH$127&amp;","&amp;Data!$BH$126&amp;","&amp;Data!$AB$43&amp;" -"&amp;Data!$BG$127&amp;","&amp;Data!$BG$126&amp;","&amp;Data!$AB$43&amp;"&lt;/coordinates&gt;"</f>
        <v>&lt;coordinates&gt;-80.1344358026966,26.0584166699617,4.2672 -80.1466194905994,26.0584161470938,156.6672 -80.1449735875145,26.0639661574505,156.6672 -80.1344217028853,26.0584641992917,4.2672 -80.1344358026966,26.0584166699617,4.2672&lt;/coordinates&gt;</v>
      </c>
    </row>
    <row r="901" spans="4:8" x14ac:dyDescent="0.25">
      <c r="G901" t="s">
        <v>255</v>
      </c>
    </row>
    <row r="902" spans="4:8" x14ac:dyDescent="0.25">
      <c r="F902" t="s">
        <v>256</v>
      </c>
    </row>
    <row r="903" spans="4:8" x14ac:dyDescent="0.25">
      <c r="E903" t="s">
        <v>257</v>
      </c>
    </row>
    <row r="904" spans="4:8" x14ac:dyDescent="0.25">
      <c r="D904" t="s">
        <v>258</v>
      </c>
    </row>
    <row r="905" spans="4:8" x14ac:dyDescent="0.25">
      <c r="D905" t="s">
        <v>248</v>
      </c>
    </row>
    <row r="906" spans="4:8" x14ac:dyDescent="0.25">
      <c r="E906" t="s">
        <v>437</v>
      </c>
    </row>
    <row r="907" spans="4:8" x14ac:dyDescent="0.25">
      <c r="E907" t="s">
        <v>425</v>
      </c>
    </row>
    <row r="908" spans="4:8" x14ac:dyDescent="0.25">
      <c r="E908" t="s">
        <v>428</v>
      </c>
    </row>
    <row r="909" spans="4:8" x14ac:dyDescent="0.25">
      <c r="E909" t="s">
        <v>249</v>
      </c>
    </row>
    <row r="910" spans="4:8" x14ac:dyDescent="0.25">
      <c r="F910" t="s">
        <v>250</v>
      </c>
    </row>
    <row r="911" spans="4:8" x14ac:dyDescent="0.25">
      <c r="F911" t="s">
        <v>251</v>
      </c>
    </row>
    <row r="912" spans="4:8" x14ac:dyDescent="0.25">
      <c r="F912" t="s">
        <v>252</v>
      </c>
    </row>
    <row r="913" spans="4:8" x14ac:dyDescent="0.25">
      <c r="F913" t="s">
        <v>253</v>
      </c>
    </row>
    <row r="914" spans="4:8" x14ac:dyDescent="0.25">
      <c r="G914" t="s">
        <v>254</v>
      </c>
    </row>
    <row r="915" spans="4:8" x14ac:dyDescent="0.25">
      <c r="H915" t="str">
        <f ca="1">"&lt;coordinates&gt;-"&amp;Data!$BH$127&amp;","&amp;Data!$BH$126&amp;","&amp;Data!$AB$43&amp;" -"&amp;Data!$BH$104&amp;","&amp;Data!$BH$103&amp;","&amp;Data!$AB$45&amp;" -"&amp;Data!$BI$104&amp;","&amp;Data!$BI$103&amp;","&amp;Data!$AB$45&amp;" -"&amp;Data!$BI$127&amp;","&amp;Data!$BI$126&amp;","&amp;Data!$AB$43&amp;" -"&amp;Data!$BH$127&amp;","&amp;Data!$BH$126&amp;","&amp;Data!$AB$43&amp;"&lt;/coordinates&gt;"</f>
        <v>&lt;coordinates&gt;-80.1344217028853,26.0584641992917,4.2672 -80.1449735875145,26.0639661574505,156.6672 -80.1404755267772,26.0680292101361,156.6672 -80.1343831813846,26.0584989931881,4.2672 -80.1344217028853,26.0584641992917,4.2672&lt;/coordinates&gt;</v>
      </c>
    </row>
    <row r="916" spans="4:8" x14ac:dyDescent="0.25">
      <c r="G916" t="s">
        <v>255</v>
      </c>
    </row>
    <row r="917" spans="4:8" x14ac:dyDescent="0.25">
      <c r="F917" t="s">
        <v>256</v>
      </c>
    </row>
    <row r="918" spans="4:8" x14ac:dyDescent="0.25">
      <c r="E918" t="s">
        <v>257</v>
      </c>
    </row>
    <row r="919" spans="4:8" x14ac:dyDescent="0.25">
      <c r="D919" t="s">
        <v>258</v>
      </c>
    </row>
    <row r="920" spans="4:8" x14ac:dyDescent="0.25">
      <c r="D920" t="s">
        <v>248</v>
      </c>
    </row>
    <row r="921" spans="4:8" x14ac:dyDescent="0.25">
      <c r="E921" t="s">
        <v>438</v>
      </c>
    </row>
    <row r="922" spans="4:8" x14ac:dyDescent="0.25">
      <c r="E922" t="s">
        <v>425</v>
      </c>
    </row>
    <row r="923" spans="4:8" x14ac:dyDescent="0.25">
      <c r="E923" t="s">
        <v>428</v>
      </c>
    </row>
    <row r="924" spans="4:8" x14ac:dyDescent="0.25">
      <c r="E924" t="s">
        <v>249</v>
      </c>
    </row>
    <row r="925" spans="4:8" x14ac:dyDescent="0.25">
      <c r="F925" t="s">
        <v>250</v>
      </c>
    </row>
    <row r="926" spans="4:8" x14ac:dyDescent="0.25">
      <c r="F926" t="s">
        <v>251</v>
      </c>
    </row>
    <row r="927" spans="4:8" x14ac:dyDescent="0.25">
      <c r="F927" t="s">
        <v>252</v>
      </c>
    </row>
    <row r="928" spans="4:8" x14ac:dyDescent="0.25">
      <c r="F928" t="s">
        <v>253</v>
      </c>
    </row>
    <row r="929" spans="1:8" x14ac:dyDescent="0.25">
      <c r="G929" t="s">
        <v>254</v>
      </c>
    </row>
    <row r="930" spans="1:8" x14ac:dyDescent="0.25">
      <c r="H930" t="str">
        <f ca="1">"&lt;coordinates&gt;-"&amp;Data!$BI$127&amp;","&amp;Data!$BI$126&amp;","&amp;Data!$AB$43&amp;" -"&amp;Data!$BI$104&amp;","&amp;Data!$BI$103&amp;","&amp;Data!$AB$45&amp;" -"&amp;Data!$AX$104&amp;","&amp;Data!$AX$103&amp;","&amp;Data!$AB$45&amp;" -"&amp;Data!$AX$127&amp;","&amp;Data!$AX$126&amp;","&amp;Data!$AB$43&amp;" -"&amp;Data!$BI$127&amp;","&amp;Data!$BI$126&amp;","&amp;Data!$AB$43&amp;"&lt;/coordinates&gt;"</f>
        <v>&lt;coordinates&gt;-80.1343831813846,26.0584989931881,4.2672 -80.1404755267772,26.0680292101361,156.6672 -80.1343305599999,26.0695164251154,156.6672 -80.1343305599999,26.0585117286406,4.2672 -80.1343831813846,26.0584989931881,4.2672&lt;/coordinates&gt;</v>
      </c>
    </row>
    <row r="931" spans="1:8" x14ac:dyDescent="0.25">
      <c r="G931" t="s">
        <v>255</v>
      </c>
    </row>
    <row r="932" spans="1:8" x14ac:dyDescent="0.25">
      <c r="F932" t="s">
        <v>256</v>
      </c>
    </row>
    <row r="933" spans="1:8" x14ac:dyDescent="0.25">
      <c r="E933" t="s">
        <v>257</v>
      </c>
    </row>
    <row r="934" spans="1:8" x14ac:dyDescent="0.25">
      <c r="D934" t="s">
        <v>258</v>
      </c>
    </row>
    <row r="935" spans="1:8" x14ac:dyDescent="0.25">
      <c r="C935" t="s">
        <v>260</v>
      </c>
    </row>
    <row r="936" spans="1:8" x14ac:dyDescent="0.25">
      <c r="B936" t="s">
        <v>260</v>
      </c>
    </row>
    <row r="937" spans="1:8" x14ac:dyDescent="0.25">
      <c r="A937" t="s">
        <v>261</v>
      </c>
    </row>
    <row r="938" spans="1:8" x14ac:dyDescent="0.25">
      <c r="A938" t="s">
        <v>262</v>
      </c>
    </row>
  </sheetData>
  <sheetProtection sheet="1" objects="1" scenarios="1"/>
  <phoneticPr fontId="1" type="noConversion"/>
  <pageMargins left="0.75" right="0.75" top="1" bottom="1" header="0.5" footer="0.5"/>
  <pageSetup orientation="portrait" horizontalDpi="4294967295" verticalDpi="4294967295"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99706BF3EA7A45821FFC27952332EE" ma:contentTypeVersion="0" ma:contentTypeDescription="Create a new document." ma:contentTypeScope="" ma:versionID="2d624498301138cd8d8bb0cb66788b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4FCC075-856E-4943-87A9-456B6B593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EE9D78-6855-4A0A-8CAB-108F5F2606B6}">
  <ds:schemaRefs>
    <ds:schemaRef ds:uri="http://schemas.microsoft.com/sharepoint/v3/contenttype/forms"/>
  </ds:schemaRefs>
</ds:datastoreItem>
</file>

<file path=customXml/itemProps3.xml><?xml version="1.0" encoding="utf-8"?>
<ds:datastoreItem xmlns:ds="http://schemas.openxmlformats.org/officeDocument/2006/customXml" ds:itemID="{5DB818A6-F369-4B29-9AF5-27FE3E20FABF}">
  <ds:schemaRefs>
    <ds:schemaRef ds:uri="http://purl.org/dc/term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Instructions</vt:lpstr>
      <vt:lpstr>Data</vt:lpstr>
      <vt:lpstr>Obstacles</vt:lpstr>
      <vt:lpstr>Vertiport</vt:lpstr>
      <vt:lpstr>Helicopter Data</vt:lpstr>
      <vt:lpstr>KML Text</vt:lpstr>
      <vt:lpstr>Answer</vt:lpstr>
      <vt:lpstr>Columns</vt:lpstr>
      <vt:lpstr>GEType</vt:lpstr>
      <vt:lpstr>Names</vt:lpstr>
      <vt:lpstr>PadType</vt:lpstr>
      <vt:lpstr>Obstacles!Print_Area</vt:lpstr>
      <vt:lpstr>Shape</vt:lpstr>
      <vt:lpstr>Type</vt:lpstr>
      <vt:lpstr>Variation</vt:lpstr>
    </vt:vector>
  </TitlesOfParts>
  <Company>DOT/FAA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Fox</dc:creator>
  <cp:lastModifiedBy>Rodriguez, Dionel CTR (FAA)</cp:lastModifiedBy>
  <cp:lastPrinted>2013-04-16T12:35:06Z</cp:lastPrinted>
  <dcterms:created xsi:type="dcterms:W3CDTF">2012-10-25T21:03:46Z</dcterms:created>
  <dcterms:modified xsi:type="dcterms:W3CDTF">2024-03-12T12:31:24Z</dcterms:modified>
</cp:coreProperties>
</file>